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ONCO'!$A$1:$I$40</definedName>
    <definedName name="_xlnm.Print_Area" localSheetId="10">'CV UNICE'!$A$1:$I$40</definedName>
  </definedNames>
  <calcPr fullCalcOnLoad="1"/>
</workbook>
</file>

<file path=xl/sharedStrings.xml><?xml version="1.0" encoding="utf-8"?>
<sst xmlns="http://schemas.openxmlformats.org/spreadsheetml/2006/main" count="491" uniqueCount="84">
  <si>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</si>
  <si>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</si>
  <si>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</si>
  <si>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</si>
  <si>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</si>
  <si>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</si>
  <si>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</si>
  <si>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</si>
  <si>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</si>
  <si>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</si>
  <si>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</si>
  <si>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</si>
  <si>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</si>
  <si>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</si>
  <si>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</si>
  <si>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</si>
  <si>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</si>
  <si>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</si>
  <si>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</si>
  <si>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</si>
  <si>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</si>
  <si>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</si>
  <si>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</si>
  <si>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</si>
  <si>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</si>
  <si>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</si>
  <si>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</si>
  <si>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</si>
  <si>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</si>
  <si>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</si>
  <si>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</si>
  <si>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</si>
  <si>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</si>
  <si>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</si>
  <si>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</si>
  <si>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</si>
  <si>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</si>
  <si>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</si>
  <si>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</si>
  <si>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</si>
  <si>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</si>
  <si>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</si>
  <si>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</si>
  <si>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</si>
  <si>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</si>
  <si>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</si>
  <si>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</si>
  <si>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</si>
  <si>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</si>
  <si>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</si>
  <si>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</si>
  <si>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</si>
  <si>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</si>
  <si>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</si>
  <si>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</si>
  <si>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</si>
  <si>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</si>
  <si>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</si>
  <si>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</si>
  <si>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</si>
  <si>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</si>
  <si>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</si>
  <si>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</si>
  <si>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</si>
  <si>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</si>
  <si>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</si>
  <si>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</si>
  <si>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</si>
  <si>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</si>
  <si>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</si>
  <si>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>UNICE COST VOLUM</t>
  </si>
  <si>
    <t xml:space="preserve">CONSUM </t>
  </si>
  <si>
    <t>SITUATIA CONSUMULUI DE MEDICAMENTE PENTRU PENSIONARI PANA LA 1139 LEI APRILIE 2020</t>
  </si>
  <si>
    <t>SITUATIA CONSUMULUI DE MEDICAMENTE PENTRU DIABET   LUNA APRILIE 2020</t>
  </si>
  <si>
    <t>SITUATIA CONSUMULUI DE MEDICAMENTE PENTRU INSULINE LUNA APRILIE 2020</t>
  </si>
  <si>
    <t>SITUATIA CONSUMULUI DE MEDICAMENTE LA  DIABET SI INSULINE APRILIE 2020</t>
  </si>
  <si>
    <t>SITUATIA CONSUMULUI LA TESTE PENTRU LUNA APRILIE 2020</t>
  </si>
  <si>
    <t>SITUATIA CONSUMULUI DE MEDICAMENTE PENTRU PNS COST VOLUM   LUNA APRILIE 2020</t>
  </si>
  <si>
    <t>SITUATIA CONSUMULUI DE MEDICAMENTE PENTRU ONCOLOGIE  LUNA APRILIE 2020</t>
  </si>
  <si>
    <t>SITUATIA CONSUMULUI DE MEDICAMENTE LA STARI POSTTRANSPLANT APRILIE 2020</t>
  </si>
  <si>
    <t>SITUATIA CONSUMULUI DE MEDICAMENTE PENTRU SCLEROZA   LUNA APRILIE 2020</t>
  </si>
  <si>
    <t>SITUATIA CONSUMULUI DE MEDIC. PENTRU UNICE COST VOLUM   LUNA APRILIE 2020</t>
  </si>
  <si>
    <t>SITUATIA CONSUMULUI DE MEDICAMENTE LA STARI MUCOVISCIDOZA APRILIE 2020</t>
  </si>
  <si>
    <t>SITUATIA CONSUMULUI DE MEDICAMENTE IN LUNA  APRILIE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</si>
</sst>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0"/>
  <sheetViews>
    <sheetView tabSelected="1" workbookViewId="0" topLeftCell="K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83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29171.76+6497.82+3415.19+188.02</f>
        <v>39272.79</v>
      </c>
      <c r="D5" s="25">
        <f>40374.12+8246.08+4425.11+208.21</f>
        <v>53253.520000000004</v>
      </c>
      <c r="E5" s="25">
        <f>59543.42+3326.86+5170.91+424.14</f>
        <v>68465.33</v>
      </c>
      <c r="F5" s="25">
        <f>858.63+353.17+36.22</f>
        <v>1248.02</v>
      </c>
      <c r="G5" s="25">
        <f>4810.83+555.99+503.09+12.42</f>
        <v>5882.33</v>
      </c>
      <c r="H5" s="26">
        <v>990.28</v>
      </c>
      <c r="I5" s="25"/>
      <c r="J5" s="25"/>
      <c r="K5" s="25">
        <v>8036.94</v>
      </c>
      <c r="L5" s="25">
        <v>32377.81</v>
      </c>
      <c r="M5" s="25">
        <v>4018.46</v>
      </c>
      <c r="N5" s="25">
        <v>5978.85</v>
      </c>
      <c r="O5" s="25"/>
      <c r="P5" s="25">
        <v>9278.72</v>
      </c>
      <c r="Q5" s="57">
        <f>H5+I5+J5+K5+L5+M5+N5+O5+P5</f>
        <v>60681.06</v>
      </c>
      <c r="R5" s="58">
        <f aca="true" t="shared" si="0" ref="R5:R39">C5+D5+E5+F5+G5+H5+I5+J5+K5+L5+M5+N5+O5+P5</f>
        <v>228803.05</v>
      </c>
      <c r="S5" s="59">
        <f>R5-Q5</f>
        <v>168121.99</v>
      </c>
      <c r="U5" s="62"/>
    </row>
    <row r="6" spans="1:21" ht="15.75">
      <c r="A6" s="55">
        <v>2</v>
      </c>
      <c r="B6" s="56" t="s">
        <v>7</v>
      </c>
      <c r="C6" s="25">
        <f>7077.76+6509.22</f>
        <v>13586.98</v>
      </c>
      <c r="D6" s="25">
        <f>10390.48+7769.47</f>
        <v>18159.95</v>
      </c>
      <c r="E6" s="25">
        <f>4122.63+4257.94</f>
        <v>8380.57</v>
      </c>
      <c r="F6" s="25">
        <f>111.63+52.57</f>
        <v>164.2</v>
      </c>
      <c r="G6" s="25">
        <f>1235.44+859.56</f>
        <v>2095</v>
      </c>
      <c r="H6" s="26">
        <v>5952.32</v>
      </c>
      <c r="I6" s="25"/>
      <c r="J6" s="25"/>
      <c r="K6" s="25"/>
      <c r="L6" s="25">
        <v>2678.98</v>
      </c>
      <c r="M6" s="25"/>
      <c r="N6" s="25">
        <v>3299.87</v>
      </c>
      <c r="O6" s="25"/>
      <c r="P6" s="25"/>
      <c r="Q6" s="57">
        <f aca="true" t="shared" si="1" ref="Q6:Q38">H6+I6+J6+K6+L6+M6+N6+O6+P6</f>
        <v>11931.169999999998</v>
      </c>
      <c r="R6" s="58">
        <f t="shared" si="0"/>
        <v>54317.87</v>
      </c>
      <c r="S6" s="59">
        <f aca="true" t="shared" si="2" ref="S6:S39">R6-Q6</f>
        <v>42386.700000000004</v>
      </c>
      <c r="U6" s="62"/>
    </row>
    <row r="7" spans="1:21" ht="15.75">
      <c r="A7" s="55">
        <v>3</v>
      </c>
      <c r="B7" s="56" t="s">
        <v>8</v>
      </c>
      <c r="C7" s="25">
        <f>6092.82+4439.5+3899.36+8350+4687.24</f>
        <v>27468.92</v>
      </c>
      <c r="D7" s="25">
        <f>7475.78+3968.28+4948.52+9343.03+2787.83</f>
        <v>28523.440000000002</v>
      </c>
      <c r="E7" s="25">
        <f>7207.29+3324.83+1312.38+6749.28+181.75</f>
        <v>18775.53</v>
      </c>
      <c r="F7" s="25">
        <f>643.64+683.36+54.67+777.78+2878.19</f>
        <v>5037.639999999999</v>
      </c>
      <c r="G7" s="25">
        <f>1069.75+360.62+449.43+729.54+182.45</f>
        <v>2791.79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82597.31999999999</v>
      </c>
      <c r="S7" s="59">
        <f t="shared" si="2"/>
        <v>82597.31999999999</v>
      </c>
      <c r="U7" s="62"/>
    </row>
    <row r="8" spans="1:21" ht="15.75">
      <c r="A8" s="55">
        <v>4</v>
      </c>
      <c r="B8" s="56" t="s">
        <v>9</v>
      </c>
      <c r="C8" s="25">
        <f>5152.89+7729.92+5030.68</f>
        <v>17913.49</v>
      </c>
      <c r="D8" s="25">
        <f>5132.11+8919.98+5594</f>
        <v>19646.09</v>
      </c>
      <c r="E8" s="25">
        <f>3884.15+3512.05+3241.16</f>
        <v>10637.36</v>
      </c>
      <c r="F8" s="25">
        <f>406.01+167+128.35</f>
        <v>701.36</v>
      </c>
      <c r="G8" s="25">
        <f>1392.83+1209.35+540.24</f>
        <v>3142.42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52040.72</v>
      </c>
      <c r="S8" s="59">
        <f t="shared" si="2"/>
        <v>52040.72</v>
      </c>
      <c r="U8" s="62"/>
    </row>
    <row r="9" spans="1:21" ht="15.75">
      <c r="A9" s="55">
        <v>5</v>
      </c>
      <c r="B9" s="56" t="s">
        <v>10</v>
      </c>
      <c r="C9" s="25">
        <v>17301.33</v>
      </c>
      <c r="D9" s="25">
        <v>28835.85</v>
      </c>
      <c r="E9" s="25">
        <v>31590.75</v>
      </c>
      <c r="F9" s="26">
        <v>524.63</v>
      </c>
      <c r="G9" s="25">
        <v>3913.96</v>
      </c>
      <c r="H9" s="26">
        <v>495.14</v>
      </c>
      <c r="J9" s="25"/>
      <c r="K9" s="25"/>
      <c r="L9" s="25">
        <v>2678.98</v>
      </c>
      <c r="M9" s="25"/>
      <c r="N9" s="25"/>
      <c r="O9" s="25"/>
      <c r="P9" s="25"/>
      <c r="Q9" s="57">
        <f t="shared" si="1"/>
        <v>3174.12</v>
      </c>
      <c r="R9" s="58">
        <f t="shared" si="0"/>
        <v>85340.64</v>
      </c>
      <c r="S9" s="59">
        <f t="shared" si="2"/>
        <v>82166.52</v>
      </c>
      <c r="U9" s="62"/>
    </row>
    <row r="10" spans="1:23" ht="15.75">
      <c r="A10" s="55">
        <v>6</v>
      </c>
      <c r="B10" s="56" t="s">
        <v>11</v>
      </c>
      <c r="C10" s="25">
        <f>16982.54+10833.28+4754+6967.29+14046.05</f>
        <v>53583.16</v>
      </c>
      <c r="D10" s="25">
        <f>21364.97+14126.76+6116.22+5321.91+18546.46</f>
        <v>65476.32</v>
      </c>
      <c r="E10" s="25">
        <f>19447.64+10927.36+7046.12+5219.71+59037.61</f>
        <v>101678.44</v>
      </c>
      <c r="F10" s="25">
        <f>389.09+1094.73+84.83+854.38+1243.38</f>
        <v>3666.41</v>
      </c>
      <c r="G10" s="25">
        <f>1959.36+2037.57+555.26+567.48+1714.77</f>
        <v>6834.4400000000005</v>
      </c>
      <c r="H10" s="26">
        <f>1635.55+88.51</f>
        <v>1724.06</v>
      </c>
      <c r="I10" s="25">
        <v>483.44</v>
      </c>
      <c r="J10" s="25"/>
      <c r="K10" s="25"/>
      <c r="L10" s="25">
        <f>9780.96+21227.74+5357.95</f>
        <v>36366.65</v>
      </c>
      <c r="M10" s="25"/>
      <c r="N10" s="25">
        <f>16936.31+5357.95</f>
        <v>22294.260000000002</v>
      </c>
      <c r="O10" s="25"/>
      <c r="P10" s="25"/>
      <c r="Q10" s="57">
        <f t="shared" si="1"/>
        <v>60868.41</v>
      </c>
      <c r="R10" s="58">
        <f t="shared" si="0"/>
        <v>292107.18000000005</v>
      </c>
      <c r="S10" s="59">
        <f t="shared" si="2"/>
        <v>231238.77000000005</v>
      </c>
      <c r="U10" s="62"/>
      <c r="W10" s="66"/>
    </row>
    <row r="11" spans="1:21" ht="15.75">
      <c r="A11" s="55">
        <v>7</v>
      </c>
      <c r="B11" s="56" t="s">
        <v>59</v>
      </c>
      <c r="C11" s="25">
        <f>13398.23+12318.73+7232.58+6841.79+6767.11+2080.39+5234.68</f>
        <v>53873.51</v>
      </c>
      <c r="D11" s="25">
        <f>21862.08+15942.23+8423.78+9236.67+10414.85+1310.4+6133.15</f>
        <v>73323.15999999999</v>
      </c>
      <c r="E11" s="25">
        <f>16932.55+9839.6+2759.12+4927.49+6076.75+1969.99+7057.93</f>
        <v>49563.43</v>
      </c>
      <c r="F11" s="25">
        <f>319.47+202.68+311+86+431.8+545.13</f>
        <v>1896.08</v>
      </c>
      <c r="G11" s="25">
        <f>2615.87+1455.39+980.03+1053.93+1024.95+182.74+269.78</f>
        <v>7582.69</v>
      </c>
      <c r="H11" s="26">
        <f>495.14+1485.42</f>
        <v>1980.56</v>
      </c>
      <c r="I11" s="25"/>
      <c r="J11" s="25"/>
      <c r="K11" s="25">
        <v>6697.44</v>
      </c>
      <c r="L11" s="25"/>
      <c r="M11" s="25"/>
      <c r="N11" s="25">
        <v>2678.98</v>
      </c>
      <c r="O11" s="25"/>
      <c r="P11" s="25"/>
      <c r="Q11" s="57">
        <f t="shared" si="1"/>
        <v>11356.98</v>
      </c>
      <c r="R11" s="58">
        <f t="shared" si="0"/>
        <v>197595.84999999998</v>
      </c>
      <c r="S11" s="59">
        <f t="shared" si="2"/>
        <v>186238.86999999997</v>
      </c>
      <c r="U11" s="62"/>
    </row>
    <row r="12" spans="1:21" ht="15.75">
      <c r="A12" s="55">
        <v>8</v>
      </c>
      <c r="B12" s="56" t="s">
        <v>12</v>
      </c>
      <c r="C12" s="25">
        <v>6956.08</v>
      </c>
      <c r="D12" s="25">
        <v>27608.69</v>
      </c>
      <c r="E12" s="25">
        <v>28861.76</v>
      </c>
      <c r="F12" s="25">
        <v>184.17</v>
      </c>
      <c r="G12" s="25">
        <v>1981.69</v>
      </c>
      <c r="H12" s="26">
        <v>3796.15</v>
      </c>
      <c r="I12" s="25">
        <v>247.57</v>
      </c>
      <c r="J12" s="25">
        <v>3667.2</v>
      </c>
      <c r="K12" s="25"/>
      <c r="L12" s="25">
        <v>21738.66</v>
      </c>
      <c r="M12" s="25"/>
      <c r="N12" s="25">
        <v>5939.3</v>
      </c>
      <c r="O12" s="25"/>
      <c r="P12" s="25"/>
      <c r="Q12" s="57">
        <f t="shared" si="1"/>
        <v>35388.880000000005</v>
      </c>
      <c r="R12" s="58">
        <f t="shared" si="0"/>
        <v>100981.27</v>
      </c>
      <c r="S12" s="59">
        <f t="shared" si="2"/>
        <v>65592.39</v>
      </c>
      <c r="U12" s="62"/>
    </row>
    <row r="13" spans="1:21" ht="15.75">
      <c r="A13" s="55">
        <v>9</v>
      </c>
      <c r="B13" s="56" t="s">
        <v>13</v>
      </c>
      <c r="C13" s="25">
        <f>6908.84+8316.33</f>
        <v>15225.17</v>
      </c>
      <c r="D13" s="27">
        <f>9944.74+14716.03</f>
        <v>24660.77</v>
      </c>
      <c r="E13" s="25">
        <f>15474.42+6414.15</f>
        <v>21888.57</v>
      </c>
      <c r="F13" s="25">
        <f>83.91+992.79</f>
        <v>1076.7</v>
      </c>
      <c r="G13" s="25">
        <f>1255.61+1137.85</f>
        <v>2393.46</v>
      </c>
      <c r="H13" s="26">
        <v>247.57</v>
      </c>
      <c r="I13" s="25"/>
      <c r="J13" s="25"/>
      <c r="K13" s="25"/>
      <c r="L13" s="25"/>
      <c r="M13" s="25"/>
      <c r="N13" s="25"/>
      <c r="O13" s="25"/>
      <c r="P13" s="25"/>
      <c r="Q13" s="57">
        <f t="shared" si="1"/>
        <v>247.57</v>
      </c>
      <c r="R13" s="58">
        <f t="shared" si="0"/>
        <v>65492.24</v>
      </c>
      <c r="S13" s="59">
        <f t="shared" si="2"/>
        <v>65244.67</v>
      </c>
      <c r="U13" s="62"/>
    </row>
    <row r="14" spans="1:21" ht="15.75">
      <c r="A14" s="55">
        <v>10</v>
      </c>
      <c r="B14" s="56" t="s">
        <v>14</v>
      </c>
      <c r="C14" s="25">
        <f>15094.25+12229.66+18625.22</f>
        <v>45949.130000000005</v>
      </c>
      <c r="D14" s="25">
        <f>20450.42+15277.21+25405.18</f>
        <v>61132.81</v>
      </c>
      <c r="E14" s="25">
        <f>6535.02+10289.68+14050.31</f>
        <v>30875.010000000002</v>
      </c>
      <c r="F14" s="25">
        <f>508.57+251.08+1083.84</f>
        <v>1843.4899999999998</v>
      </c>
      <c r="G14" s="25">
        <f>2735.04+1680.47+2458.39</f>
        <v>6873.9</v>
      </c>
      <c r="H14" s="26">
        <f>247.57+247.57</f>
        <v>495.14</v>
      </c>
      <c r="I14" s="25"/>
      <c r="J14" s="25"/>
      <c r="K14" s="25">
        <v>2678.98</v>
      </c>
      <c r="L14" s="25">
        <v>14636.67</v>
      </c>
      <c r="M14" s="25">
        <v>2678.98</v>
      </c>
      <c r="N14" s="25">
        <f>9278.72+16073.86</f>
        <v>25352.58</v>
      </c>
      <c r="O14" s="25">
        <v>1815.63</v>
      </c>
      <c r="P14" s="25"/>
      <c r="Q14" s="57">
        <f t="shared" si="1"/>
        <v>47657.98</v>
      </c>
      <c r="R14" s="58">
        <f t="shared" si="0"/>
        <v>194332.32000000007</v>
      </c>
      <c r="S14" s="59">
        <f t="shared" si="2"/>
        <v>146674.34000000005</v>
      </c>
      <c r="U14" s="62"/>
    </row>
    <row r="15" spans="1:21" ht="15.75">
      <c r="A15" s="55">
        <v>11</v>
      </c>
      <c r="B15" s="56" t="s">
        <v>15</v>
      </c>
      <c r="C15" s="25">
        <v>24727.37</v>
      </c>
      <c r="D15" s="25">
        <v>33396.41</v>
      </c>
      <c r="E15" s="25">
        <v>24110.59</v>
      </c>
      <c r="F15" s="25">
        <v>434.01</v>
      </c>
      <c r="G15" s="25">
        <v>3754.12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86422.49999999999</v>
      </c>
      <c r="S15" s="59">
        <f t="shared" si="2"/>
        <v>86422.49999999999</v>
      </c>
      <c r="U15" s="62"/>
    </row>
    <row r="16" spans="1:22" ht="15.75">
      <c r="A16" s="55">
        <v>12</v>
      </c>
      <c r="B16" s="56" t="s">
        <v>16</v>
      </c>
      <c r="C16" s="25">
        <v>20783.87</v>
      </c>
      <c r="D16" s="25">
        <v>17950.67</v>
      </c>
      <c r="E16" s="25">
        <v>8487.44</v>
      </c>
      <c r="F16" s="25">
        <v>710.41</v>
      </c>
      <c r="G16" s="25">
        <v>2087.62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50020.01</v>
      </c>
      <c r="S16" s="59">
        <f t="shared" si="2"/>
        <v>50020.01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35285.68+14340.59</f>
        <v>49626.270000000004</v>
      </c>
      <c r="D17" s="25">
        <f>30343.41+12174.91</f>
        <v>42518.32</v>
      </c>
      <c r="E17" s="25">
        <f>29373.58+9180.82</f>
        <v>38554.4</v>
      </c>
      <c r="F17" s="25">
        <f>2825.45+963.02</f>
        <v>3788.47</v>
      </c>
      <c r="G17" s="25">
        <f>2964.03+772.45</f>
        <v>3736.4800000000005</v>
      </c>
      <c r="H17" s="26"/>
      <c r="I17" s="25"/>
      <c r="J17" s="25"/>
      <c r="K17" s="25"/>
      <c r="L17" s="25">
        <v>5978.85</v>
      </c>
      <c r="M17" s="25"/>
      <c r="N17" s="25"/>
      <c r="O17" s="25"/>
      <c r="P17" s="25"/>
      <c r="Q17" s="57">
        <f t="shared" si="1"/>
        <v>5978.85</v>
      </c>
      <c r="R17" s="58">
        <f t="shared" si="0"/>
        <v>144202.79</v>
      </c>
      <c r="S17" s="59">
        <f t="shared" si="2"/>
        <v>138223.94</v>
      </c>
      <c r="U17" s="62"/>
    </row>
    <row r="18" spans="1:21" ht="15.75">
      <c r="A18" s="55">
        <v>14</v>
      </c>
      <c r="B18" s="56" t="s">
        <v>18</v>
      </c>
      <c r="C18" s="25">
        <f>10721.23+3374.56</f>
        <v>14095.789999999999</v>
      </c>
      <c r="D18" s="25">
        <f>14153.94+3087.59+52.46</f>
        <v>17293.989999999998</v>
      </c>
      <c r="E18" s="25">
        <f>5849.99+1559.14</f>
        <v>7409.13</v>
      </c>
      <c r="F18" s="25">
        <f>485.66+167.57</f>
        <v>653.23</v>
      </c>
      <c r="G18" s="25">
        <f>1936.48+504.6</f>
        <v>2441.08</v>
      </c>
      <c r="H18" s="28">
        <v>495</v>
      </c>
      <c r="I18" s="25"/>
      <c r="J18" s="25"/>
      <c r="K18" s="25"/>
      <c r="L18" s="25"/>
      <c r="M18" s="25"/>
      <c r="N18" s="25"/>
      <c r="O18" s="25"/>
      <c r="P18" s="25"/>
      <c r="Q18" s="57">
        <f t="shared" si="1"/>
        <v>495</v>
      </c>
      <c r="R18" s="58">
        <f t="shared" si="0"/>
        <v>42388.22</v>
      </c>
      <c r="S18" s="59">
        <f t="shared" si="2"/>
        <v>41893.22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4377.51+4295.77+1545.22+3257.33</f>
        <v>13475.83</v>
      </c>
      <c r="D20" s="25">
        <f>5060.53+3711.05+1892.04+4353.17</f>
        <v>15016.789999999999</v>
      </c>
      <c r="E20" s="25">
        <f>1032.06+1021.48+1448.02+2231.25</f>
        <v>5732.8099999999995</v>
      </c>
      <c r="F20" s="25">
        <f>337.22+348.92+112.42+446.22</f>
        <v>1244.7800000000002</v>
      </c>
      <c r="G20" s="25">
        <f>1430.36+631.88+156.76+422.5</f>
        <v>2641.5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38111.71</v>
      </c>
      <c r="S20" s="59">
        <f t="shared" si="2"/>
        <v>38111.71</v>
      </c>
      <c r="U20" s="62"/>
    </row>
    <row r="21" spans="1:21" ht="15.75">
      <c r="A21" s="55">
        <v>17</v>
      </c>
      <c r="B21" s="56" t="s">
        <v>21</v>
      </c>
      <c r="C21" s="25">
        <v>18412.15</v>
      </c>
      <c r="D21" s="25">
        <v>17349.34</v>
      </c>
      <c r="E21" s="25">
        <v>8037.79</v>
      </c>
      <c r="F21" s="25">
        <v>71.61</v>
      </c>
      <c r="G21" s="25">
        <v>2433.01</v>
      </c>
      <c r="H21" s="26">
        <v>1768.39</v>
      </c>
      <c r="I21" s="25"/>
      <c r="J21" s="25"/>
      <c r="K21" s="25"/>
      <c r="L21" s="25"/>
      <c r="M21" s="25"/>
      <c r="N21" s="25">
        <v>21477.96</v>
      </c>
      <c r="O21" s="25"/>
      <c r="P21" s="25"/>
      <c r="Q21" s="57">
        <f t="shared" si="1"/>
        <v>23246.35</v>
      </c>
      <c r="R21" s="58">
        <f t="shared" si="0"/>
        <v>69550.25</v>
      </c>
      <c r="S21" s="59">
        <f t="shared" si="2"/>
        <v>46303.9</v>
      </c>
      <c r="U21" s="62"/>
    </row>
    <row r="22" spans="1:21" ht="15.75">
      <c r="A22" s="55">
        <v>18</v>
      </c>
      <c r="B22" s="56" t="s">
        <v>22</v>
      </c>
      <c r="C22" s="25">
        <f>17568.07+6080.32+18743.8+3585.85+3127.29</f>
        <v>49105.33</v>
      </c>
      <c r="D22" s="25">
        <f>29588.91+7259.39+21389.05+6003.45+5112.99</f>
        <v>69353.79000000001</v>
      </c>
      <c r="E22" s="25">
        <f>26866.52+4887.34+22422.05+744.67+1043.22</f>
        <v>55963.8</v>
      </c>
      <c r="F22" s="25">
        <f>1083.48+1849.17+790.68+391.23+338</f>
        <v>4452.5599999999995</v>
      </c>
      <c r="G22" s="25">
        <f>3402.89+589.02+2547.72+564.81+488.15</f>
        <v>7592.589999999998</v>
      </c>
      <c r="H22" s="26">
        <f>2723.27+495.14</f>
        <v>3218.41</v>
      </c>
      <c r="I22" s="25"/>
      <c r="J22" s="25"/>
      <c r="K22" s="25">
        <v>2678.98</v>
      </c>
      <c r="L22" s="25">
        <v>8657.82</v>
      </c>
      <c r="M22" s="25"/>
      <c r="N22" s="25"/>
      <c r="O22" s="25"/>
      <c r="P22" s="25"/>
      <c r="Q22" s="57">
        <f t="shared" si="1"/>
        <v>14555.21</v>
      </c>
      <c r="R22" s="58">
        <f t="shared" si="0"/>
        <v>201023.28000000003</v>
      </c>
      <c r="S22" s="59">
        <f t="shared" si="2"/>
        <v>186468.07000000004</v>
      </c>
      <c r="U22" s="62"/>
    </row>
    <row r="23" spans="1:21" ht="15.75">
      <c r="A23" s="55">
        <v>19</v>
      </c>
      <c r="B23" s="56" t="s">
        <v>23</v>
      </c>
      <c r="C23" s="25">
        <v>8621.35</v>
      </c>
      <c r="D23" s="25">
        <v>7313.97</v>
      </c>
      <c r="E23" s="25">
        <v>3696.39</v>
      </c>
      <c r="F23" s="25">
        <v>165.92</v>
      </c>
      <c r="G23" s="25">
        <v>800.72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20598.35</v>
      </c>
      <c r="S23" s="59">
        <f t="shared" si="2"/>
        <v>20598.35</v>
      </c>
      <c r="U23" s="62"/>
    </row>
    <row r="24" spans="1:21" ht="15.75">
      <c r="A24" s="55">
        <v>20</v>
      </c>
      <c r="B24" s="56" t="s">
        <v>24</v>
      </c>
      <c r="C24" s="25">
        <f>5462.77+3141.09</f>
        <v>8603.86</v>
      </c>
      <c r="D24" s="25">
        <f>3666.95+3343.71</f>
        <v>7010.66</v>
      </c>
      <c r="E24" s="25">
        <f>3782.76+2822.62</f>
        <v>6605.38</v>
      </c>
      <c r="F24" s="25">
        <f>311.43+217.35</f>
        <v>528.78</v>
      </c>
      <c r="G24" s="25">
        <f>635.58+645.24</f>
        <v>1280.8200000000002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24029.5</v>
      </c>
      <c r="S24" s="59">
        <f t="shared" si="2"/>
        <v>24029.5</v>
      </c>
      <c r="U24" s="62"/>
    </row>
    <row r="25" spans="1:21" ht="15.75">
      <c r="A25" s="55">
        <v>21</v>
      </c>
      <c r="B25" s="56" t="s">
        <v>25</v>
      </c>
      <c r="C25" s="25">
        <f>6690.11+7567.26+11189.17+6669.95</f>
        <v>32116.49</v>
      </c>
      <c r="D25" s="25">
        <f>10258.53+13303.3+14893.44+8598.34</f>
        <v>47053.61</v>
      </c>
      <c r="E25" s="25">
        <f>6554.92+8501.19+17538.43+1982.76</f>
        <v>34577.3</v>
      </c>
      <c r="F25" s="25">
        <f>95.97+100.28+210.03+501.47</f>
        <v>907.75</v>
      </c>
      <c r="G25" s="25">
        <f>1170.73+1393.08+1117.2+973.86</f>
        <v>4654.87</v>
      </c>
      <c r="H25" s="25">
        <f>495.13+892.83</f>
        <v>1387.96</v>
      </c>
      <c r="I25" s="25"/>
      <c r="J25" s="25">
        <f>3738.06+2226.29</f>
        <v>5964.35</v>
      </c>
      <c r="K25" s="25">
        <v>2678.97</v>
      </c>
      <c r="L25" s="25">
        <f>12670.8+143095.63</f>
        <v>155766.43</v>
      </c>
      <c r="M25" s="25">
        <v>2678.97</v>
      </c>
      <c r="N25" s="25">
        <v>28129.22</v>
      </c>
      <c r="O25" s="25"/>
      <c r="P25" s="25">
        <v>42863.58</v>
      </c>
      <c r="Q25" s="57">
        <f t="shared" si="1"/>
        <v>239469.47999999998</v>
      </c>
      <c r="R25" s="58">
        <f t="shared" si="0"/>
        <v>358779.49999999994</v>
      </c>
      <c r="S25" s="59">
        <f t="shared" si="2"/>
        <v>119310.01999999996</v>
      </c>
      <c r="U25" s="62"/>
    </row>
    <row r="26" spans="1:21" ht="15.75">
      <c r="A26" s="55">
        <v>22</v>
      </c>
      <c r="B26" s="56" t="s">
        <v>26</v>
      </c>
      <c r="C26" s="25">
        <v>1453.94</v>
      </c>
      <c r="D26" s="25">
        <v>3438.85</v>
      </c>
      <c r="E26" s="25">
        <v>469.42</v>
      </c>
      <c r="F26" s="25">
        <v>43.26</v>
      </c>
      <c r="G26" s="25">
        <v>263.43</v>
      </c>
      <c r="H26" s="26"/>
      <c r="I26" s="25"/>
      <c r="J26" s="25"/>
      <c r="K26" s="25"/>
      <c r="L26" s="25"/>
      <c r="M26" s="25"/>
      <c r="N26" s="25">
        <v>3859.45</v>
      </c>
      <c r="O26" s="25"/>
      <c r="P26" s="25"/>
      <c r="Q26" s="57">
        <f t="shared" si="1"/>
        <v>3859.45</v>
      </c>
      <c r="R26" s="58">
        <f t="shared" si="0"/>
        <v>9528.35</v>
      </c>
      <c r="S26" s="59">
        <f t="shared" si="2"/>
        <v>5668.900000000001</v>
      </c>
      <c r="U26" s="62"/>
    </row>
    <row r="27" spans="1:21" ht="15.75">
      <c r="A27" s="55">
        <v>23</v>
      </c>
      <c r="B27" s="56" t="s">
        <v>27</v>
      </c>
      <c r="C27" s="25">
        <f>9318.98+3945.15</f>
        <v>13264.13</v>
      </c>
      <c r="D27" s="25">
        <f>11545.04+3478.04</f>
        <v>15023.080000000002</v>
      </c>
      <c r="E27" s="25">
        <f>2976.99+685.97</f>
        <v>3662.96</v>
      </c>
      <c r="F27" s="25">
        <f>278.41+330.64</f>
        <v>609.05</v>
      </c>
      <c r="G27" s="25">
        <f>1412.49+663.1</f>
        <v>2075.59</v>
      </c>
      <c r="H27" s="26">
        <v>0</v>
      </c>
      <c r="I27" s="25"/>
      <c r="J27" s="25"/>
      <c r="K27" s="25"/>
      <c r="L27" s="25">
        <v>3260.32</v>
      </c>
      <c r="M27" s="25"/>
      <c r="N27" s="25">
        <v>0</v>
      </c>
      <c r="O27" s="25">
        <v>2109.97</v>
      </c>
      <c r="P27" s="25"/>
      <c r="Q27" s="57">
        <f t="shared" si="1"/>
        <v>5370.29</v>
      </c>
      <c r="R27" s="58">
        <f t="shared" si="0"/>
        <v>40005.1</v>
      </c>
      <c r="S27" s="59">
        <f t="shared" si="2"/>
        <v>34634.81</v>
      </c>
      <c r="U27" s="62"/>
    </row>
    <row r="28" spans="1:21" ht="15.75">
      <c r="A28" s="55">
        <v>24</v>
      </c>
      <c r="B28" s="56" t="s">
        <v>28</v>
      </c>
      <c r="C28" s="25">
        <f>7467.29+4962.87</f>
        <v>12430.16</v>
      </c>
      <c r="D28" s="25">
        <f>7615.26+5462.21</f>
        <v>13077.470000000001</v>
      </c>
      <c r="E28" s="25">
        <f>12515.82+5355.26</f>
        <v>17871.08</v>
      </c>
      <c r="F28" s="25">
        <f>105.37+91.47</f>
        <v>196.84</v>
      </c>
      <c r="G28" s="25">
        <f>571+746.23</f>
        <v>1317.23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44892.780000000006</v>
      </c>
      <c r="S28" s="59">
        <f t="shared" si="2"/>
        <v>44892.780000000006</v>
      </c>
      <c r="U28" s="62"/>
    </row>
    <row r="29" spans="1:21" ht="15.75">
      <c r="A29" s="55">
        <v>25</v>
      </c>
      <c r="B29" s="56" t="s">
        <v>29</v>
      </c>
      <c r="C29" s="25">
        <f>14957.12+12339.4+16516.51</f>
        <v>43813.03</v>
      </c>
      <c r="D29" s="25">
        <f>22000.07+20820.61+15299.83</f>
        <v>58120.51</v>
      </c>
      <c r="E29" s="25">
        <f>8725.17+5247.8+6121.18</f>
        <v>20094.15</v>
      </c>
      <c r="F29" s="25">
        <f>1264.8+1405.41+134.81</f>
        <v>2805.02</v>
      </c>
      <c r="G29" s="25">
        <f>1935.67+1979.75+2180.98</f>
        <v>6096.4</v>
      </c>
      <c r="H29" s="26">
        <v>693.99</v>
      </c>
      <c r="I29" s="25"/>
      <c r="J29" s="25"/>
      <c r="K29" s="25"/>
      <c r="L29" s="25"/>
      <c r="M29" s="25">
        <v>2678.98</v>
      </c>
      <c r="N29" s="25"/>
      <c r="O29" s="25"/>
      <c r="P29" s="25"/>
      <c r="Q29" s="57">
        <f t="shared" si="1"/>
        <v>3372.9700000000003</v>
      </c>
      <c r="R29" s="58">
        <f t="shared" si="0"/>
        <v>134302.08000000002</v>
      </c>
      <c r="S29" s="59">
        <f t="shared" si="2"/>
        <v>130929.11000000002</v>
      </c>
      <c r="U29" s="62"/>
    </row>
    <row r="30" spans="1:21" ht="15.75">
      <c r="A30" s="55">
        <v>26</v>
      </c>
      <c r="B30" s="56" t="s">
        <v>30</v>
      </c>
      <c r="C30" s="25">
        <f>26551.3+4604.73</f>
        <v>31156.03</v>
      </c>
      <c r="D30" s="25">
        <f>37578.82+4770.49</f>
        <v>42349.31</v>
      </c>
      <c r="E30" s="25">
        <f>22650.74+930.82</f>
        <v>23581.56</v>
      </c>
      <c r="F30" s="25">
        <f>1362.01+244.13</f>
        <v>1606.1399999999999</v>
      </c>
      <c r="G30" s="25">
        <f>5160.45+1036.4</f>
        <v>6196.85</v>
      </c>
      <c r="H30" s="26">
        <v>3718.87</v>
      </c>
      <c r="I30" s="25"/>
      <c r="J30" s="25"/>
      <c r="K30" s="25"/>
      <c r="L30" s="25"/>
      <c r="M30" s="25"/>
      <c r="N30" s="25">
        <v>16073.86</v>
      </c>
      <c r="O30" s="25"/>
      <c r="P30" s="25"/>
      <c r="Q30" s="57">
        <f t="shared" si="1"/>
        <v>19792.73</v>
      </c>
      <c r="R30" s="58">
        <f t="shared" si="0"/>
        <v>124682.62</v>
      </c>
      <c r="S30" s="59">
        <f t="shared" si="2"/>
        <v>104889.89</v>
      </c>
      <c r="U30" s="62"/>
    </row>
    <row r="31" spans="1:21" ht="15.75">
      <c r="A31" s="55">
        <v>27</v>
      </c>
      <c r="B31" s="56" t="s">
        <v>40</v>
      </c>
      <c r="C31" s="25">
        <v>3953.68</v>
      </c>
      <c r="D31" s="25">
        <v>5305.03</v>
      </c>
      <c r="E31" s="25">
        <v>3524.3</v>
      </c>
      <c r="F31" s="25">
        <v>67.44</v>
      </c>
      <c r="G31" s="25">
        <v>380.18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13230.63</v>
      </c>
      <c r="S31" s="59">
        <f t="shared" si="2"/>
        <v>13230.63</v>
      </c>
      <c r="U31" s="62"/>
    </row>
    <row r="32" spans="1:21" ht="15.75">
      <c r="A32" s="55">
        <v>28</v>
      </c>
      <c r="B32" s="56" t="s">
        <v>41</v>
      </c>
      <c r="C32" s="25">
        <f>13927.04+5562.23+3430.84</f>
        <v>22920.11</v>
      </c>
      <c r="D32" s="25">
        <f>15095.95+4361.21+3506.5</f>
        <v>22963.66</v>
      </c>
      <c r="E32" s="25">
        <f>15133.92+3021.25+1403.83</f>
        <v>19559</v>
      </c>
      <c r="F32" s="25">
        <f>475.64+848.73+138.4</f>
        <v>1462.77</v>
      </c>
      <c r="G32" s="25">
        <f>1283.92+843.65+237.58</f>
        <v>2365.15</v>
      </c>
      <c r="H32" s="26"/>
      <c r="I32" s="25"/>
      <c r="J32" s="25"/>
      <c r="K32" s="25"/>
      <c r="L32" s="25"/>
      <c r="M32" s="25">
        <v>3299.87</v>
      </c>
      <c r="N32" s="25"/>
      <c r="O32" s="25"/>
      <c r="P32" s="25"/>
      <c r="Q32" s="57">
        <f t="shared" si="1"/>
        <v>3299.87</v>
      </c>
      <c r="R32" s="58">
        <f t="shared" si="0"/>
        <v>72570.56</v>
      </c>
      <c r="S32" s="59">
        <f t="shared" si="2"/>
        <v>69270.69</v>
      </c>
      <c r="U32" s="62"/>
    </row>
    <row r="33" spans="1:21" ht="15.75">
      <c r="A33" s="55">
        <v>29</v>
      </c>
      <c r="B33" s="56" t="s">
        <v>42</v>
      </c>
      <c r="C33" s="25">
        <v>10937.26</v>
      </c>
      <c r="D33" s="25">
        <v>16682.16</v>
      </c>
      <c r="E33" s="25">
        <v>6063.3</v>
      </c>
      <c r="F33" s="25">
        <v>272.15</v>
      </c>
      <c r="G33" s="25">
        <v>1297.95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35252.82</v>
      </c>
      <c r="S33" s="59">
        <f t="shared" si="2"/>
        <v>35252.82</v>
      </c>
      <c r="U33" s="62"/>
    </row>
    <row r="34" spans="1:21" ht="15.75">
      <c r="A34" s="55">
        <v>30</v>
      </c>
      <c r="B34" s="56" t="s">
        <v>44</v>
      </c>
      <c r="C34" s="25">
        <v>7937.08</v>
      </c>
      <c r="D34" s="25">
        <v>6556.33</v>
      </c>
      <c r="E34" s="25">
        <v>4142.93</v>
      </c>
      <c r="F34" s="25">
        <v>784.38</v>
      </c>
      <c r="G34" s="25">
        <v>638.81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20059.530000000002</v>
      </c>
      <c r="S34" s="59">
        <f t="shared" si="2"/>
        <v>20059.530000000002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7899.91</v>
      </c>
      <c r="D36" s="25">
        <v>9896.19</v>
      </c>
      <c r="E36" s="25">
        <v>8899.31</v>
      </c>
      <c r="F36" s="25">
        <v>151.99</v>
      </c>
      <c r="G36" s="25">
        <v>1163.23</v>
      </c>
      <c r="H36" s="25">
        <v>206.31</v>
      </c>
      <c r="I36" s="25"/>
      <c r="J36" s="25"/>
      <c r="K36" s="25"/>
      <c r="L36" s="25"/>
      <c r="M36" s="25"/>
      <c r="N36" s="25"/>
      <c r="O36" s="25"/>
      <c r="P36" s="25"/>
      <c r="Q36" s="57">
        <f t="shared" si="1"/>
        <v>206.31</v>
      </c>
      <c r="R36" s="58">
        <f t="shared" si="0"/>
        <v>28216.94</v>
      </c>
      <c r="S36" s="59">
        <f t="shared" si="2"/>
        <v>28010.629999999997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4036.59</v>
      </c>
      <c r="D37" s="25">
        <v>3823.78</v>
      </c>
      <c r="E37" s="25">
        <v>1886.43</v>
      </c>
      <c r="F37" s="25">
        <v>41.2</v>
      </c>
      <c r="G37" s="25">
        <v>404.84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10192.840000000002</v>
      </c>
      <c r="S37" s="59">
        <f t="shared" si="2"/>
        <v>10192.840000000002</v>
      </c>
      <c r="U37" s="62"/>
    </row>
    <row r="38" spans="1:21" s="4" customFormat="1" ht="16.5" thickBot="1">
      <c r="A38" s="55">
        <v>34</v>
      </c>
      <c r="B38" s="56" t="s">
        <v>61</v>
      </c>
      <c r="C38" s="25">
        <v>4181.64</v>
      </c>
      <c r="D38" s="25">
        <v>4623.75</v>
      </c>
      <c r="E38" s="25">
        <v>3082.42</v>
      </c>
      <c r="F38" s="25">
        <v>716.14</v>
      </c>
      <c r="G38" s="25">
        <v>308.74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12912.689999999999</v>
      </c>
      <c r="S38" s="59">
        <f t="shared" si="2"/>
        <v>12912.689999999999</v>
      </c>
      <c r="U38" s="62"/>
    </row>
    <row r="39" spans="1:56" s="49" customFormat="1" ht="26.25" customHeight="1" thickBot="1">
      <c r="A39" s="57"/>
      <c r="B39" s="57" t="s">
        <v>31</v>
      </c>
      <c r="C39" s="57">
        <f>SUM(C5:C38)</f>
        <v>694682.4300000002</v>
      </c>
      <c r="D39" s="57">
        <f aca="true" t="shared" si="3" ref="D39:P39">SUM(D5:D38)</f>
        <v>876738.2699999999</v>
      </c>
      <c r="E39" s="57">
        <f t="shared" si="3"/>
        <v>676728.6400000004</v>
      </c>
      <c r="F39" s="57">
        <f t="shared" si="3"/>
        <v>38056.599999999984</v>
      </c>
      <c r="G39" s="57">
        <f t="shared" si="3"/>
        <v>97422.88999999998</v>
      </c>
      <c r="H39" s="57">
        <f t="shared" si="3"/>
        <v>27170.149999999998</v>
      </c>
      <c r="I39" s="57">
        <f t="shared" si="3"/>
        <v>731.01</v>
      </c>
      <c r="J39" s="57">
        <f t="shared" si="3"/>
        <v>9631.55</v>
      </c>
      <c r="K39" s="57">
        <f t="shared" si="3"/>
        <v>22771.31</v>
      </c>
      <c r="L39" s="57">
        <f t="shared" si="3"/>
        <v>284141.17</v>
      </c>
      <c r="M39" s="57">
        <f t="shared" si="3"/>
        <v>15355.259999999998</v>
      </c>
      <c r="N39" s="57">
        <f t="shared" si="3"/>
        <v>135084.33000000002</v>
      </c>
      <c r="O39" s="57">
        <f t="shared" si="3"/>
        <v>3925.6</v>
      </c>
      <c r="P39" s="57">
        <f t="shared" si="3"/>
        <v>52142.3</v>
      </c>
      <c r="Q39" s="57">
        <f>H39+I39+J39+K39+L39+M39+N39+O39+P39</f>
        <v>550952.6799999999</v>
      </c>
      <c r="R39" s="58">
        <f t="shared" si="0"/>
        <v>2934581.5100000002</v>
      </c>
      <c r="S39" s="59">
        <f t="shared" si="2"/>
        <v>2383628.83</v>
      </c>
      <c r="T39" s="4"/>
      <c r="U39" s="6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2:19" ht="15.75">
      <c r="B40" s="29"/>
      <c r="C40" s="30"/>
      <c r="D40" s="30"/>
      <c r="E40" s="30"/>
      <c r="F40" s="31"/>
      <c r="G40" s="31"/>
      <c r="H40" s="32"/>
      <c r="I40" s="30"/>
      <c r="J40" s="30"/>
      <c r="K40" s="30"/>
      <c r="L40" s="30"/>
      <c r="M40" s="30"/>
      <c r="N40" s="30"/>
      <c r="O40" s="30"/>
      <c r="P40" s="30"/>
      <c r="Q40" s="30"/>
      <c r="S40" s="32"/>
    </row>
    <row r="41" spans="2:19" ht="15.75">
      <c r="B41" s="33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8" ht="15">
      <c r="B42" s="8"/>
      <c r="C42" s="1"/>
      <c r="D42" s="1"/>
      <c r="E42" s="1"/>
      <c r="F42" s="2"/>
      <c r="G42" s="2"/>
      <c r="H42" s="15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9" ht="12.75">
      <c r="B46" s="14"/>
      <c r="S46" s="63"/>
    </row>
    <row r="47" spans="2:12" ht="12.75">
      <c r="B47" s="9"/>
      <c r="F47" s="3"/>
      <c r="G47" s="3"/>
      <c r="L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spans="2:19" ht="12.75">
      <c r="B56" s="10"/>
      <c r="C56" s="4"/>
      <c r="D56" s="4"/>
      <c r="E56" s="4"/>
      <c r="F56" s="4"/>
      <c r="G56" s="4"/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1">
      <selection activeCell="C6" sqref="C6:C39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73" t="s">
        <v>80</v>
      </c>
      <c r="B3" s="73"/>
      <c r="C3" s="73"/>
      <c r="D3" s="73"/>
      <c r="E3" s="73"/>
      <c r="F3" s="73"/>
      <c r="G3" s="73"/>
      <c r="H3" s="73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71</v>
      </c>
    </row>
    <row r="6" spans="1:3" ht="15.75">
      <c r="A6" s="55">
        <v>1</v>
      </c>
      <c r="B6" s="56" t="s">
        <v>6</v>
      </c>
      <c r="C6" s="67"/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>
        <v>439.43</v>
      </c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/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439.43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1318.26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2197.12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0"/>
  <sheetViews>
    <sheetView view="pageBreakPreview" zoomScale="60" workbookViewId="0" topLeftCell="A13">
      <selection activeCell="C42" sqref="C42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61" t="s">
        <v>81</v>
      </c>
      <c r="B3" s="61"/>
      <c r="C3" s="61"/>
      <c r="D3" s="61"/>
      <c r="E3" s="61"/>
      <c r="F3" s="61"/>
      <c r="G3" s="61"/>
      <c r="H3" s="61"/>
      <c r="I3" s="61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47.25">
      <c r="A5" s="50" t="s">
        <v>0</v>
      </c>
      <c r="B5" s="51" t="s">
        <v>1</v>
      </c>
      <c r="C5" s="51" t="s">
        <v>70</v>
      </c>
      <c r="D5" s="36"/>
      <c r="E5" s="36"/>
      <c r="F5" s="36"/>
      <c r="G5" s="36"/>
      <c r="H5" s="36"/>
      <c r="I5" s="36"/>
    </row>
    <row r="6" spans="1:9" ht="15.75">
      <c r="A6" s="55">
        <v>1</v>
      </c>
      <c r="B6" s="56" t="s">
        <v>6</v>
      </c>
      <c r="C6" s="6">
        <v>980.34</v>
      </c>
      <c r="D6" s="36"/>
      <c r="E6" s="36"/>
      <c r="F6" s="36"/>
      <c r="G6" s="36"/>
      <c r="H6" s="36"/>
      <c r="I6" s="36"/>
    </row>
    <row r="7" spans="1:3" ht="15.75">
      <c r="A7" s="55">
        <v>2</v>
      </c>
      <c r="B7" s="56" t="s">
        <v>7</v>
      </c>
      <c r="C7" s="67">
        <v>326.78</v>
      </c>
    </row>
    <row r="8" spans="1:3" ht="15.75">
      <c r="A8" s="55">
        <v>3</v>
      </c>
      <c r="B8" s="56" t="s">
        <v>8</v>
      </c>
      <c r="C8" s="67">
        <v>326.78</v>
      </c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>
        <v>653.56</v>
      </c>
    </row>
    <row r="12" spans="1:3" ht="15.75">
      <c r="A12" s="55">
        <v>7</v>
      </c>
      <c r="B12" s="56" t="s">
        <v>59</v>
      </c>
      <c r="C12" s="67">
        <v>980.34</v>
      </c>
    </row>
    <row r="13" spans="1:3" ht="15.75">
      <c r="A13" s="55">
        <v>8</v>
      </c>
      <c r="B13" s="56" t="s">
        <v>12</v>
      </c>
      <c r="C13" s="67">
        <v>326.78</v>
      </c>
    </row>
    <row r="14" spans="1:3" ht="15.75">
      <c r="A14" s="55">
        <v>9</v>
      </c>
      <c r="B14" s="56" t="s">
        <v>13</v>
      </c>
      <c r="C14" s="67">
        <v>2287.46</v>
      </c>
    </row>
    <row r="15" spans="1:3" ht="15.75">
      <c r="A15" s="55">
        <v>10</v>
      </c>
      <c r="B15" s="56" t="s">
        <v>14</v>
      </c>
      <c r="C15" s="67">
        <v>1633.9</v>
      </c>
    </row>
    <row r="16" spans="1:3" ht="15.75">
      <c r="A16" s="55">
        <v>11</v>
      </c>
      <c r="B16" s="56" t="s">
        <v>15</v>
      </c>
      <c r="C16" s="67">
        <v>980.34</v>
      </c>
    </row>
    <row r="17" spans="1:3" ht="15.75">
      <c r="A17" s="55">
        <v>12</v>
      </c>
      <c r="B17" s="56" t="s">
        <v>16</v>
      </c>
      <c r="C17" s="67">
        <v>653.56</v>
      </c>
    </row>
    <row r="18" spans="1:3" ht="15.75">
      <c r="A18" s="55">
        <v>13</v>
      </c>
      <c r="B18" s="56" t="s">
        <v>17</v>
      </c>
      <c r="C18" s="67">
        <v>980.34</v>
      </c>
    </row>
    <row r="19" spans="1:3" ht="15.75">
      <c r="A19" s="55">
        <v>14</v>
      </c>
      <c r="B19" s="56" t="s">
        <v>18</v>
      </c>
      <c r="C19" s="67">
        <v>326.78</v>
      </c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>
        <v>326.78</v>
      </c>
    </row>
    <row r="22" spans="1:3" ht="15.75">
      <c r="A22" s="55">
        <v>17</v>
      </c>
      <c r="B22" s="56" t="s">
        <v>21</v>
      </c>
      <c r="C22" s="67">
        <v>1307.12</v>
      </c>
    </row>
    <row r="23" spans="1:3" ht="15.75">
      <c r="A23" s="55">
        <v>18</v>
      </c>
      <c r="B23" s="56" t="s">
        <v>22</v>
      </c>
      <c r="C23" s="67">
        <v>653.55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1307.08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>
        <v>653.56</v>
      </c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2614.24</v>
      </c>
    </row>
    <row r="31" spans="1:3" ht="15.75">
      <c r="A31" s="55">
        <v>26</v>
      </c>
      <c r="B31" s="56" t="s">
        <v>30</v>
      </c>
      <c r="C31" s="67">
        <v>326.78</v>
      </c>
    </row>
    <row r="32" spans="1:3" ht="15.75">
      <c r="A32" s="55">
        <v>27</v>
      </c>
      <c r="B32" s="56" t="s">
        <v>40</v>
      </c>
      <c r="C32" s="67">
        <v>653.56</v>
      </c>
    </row>
    <row r="33" spans="1:3" ht="15.75">
      <c r="A33" s="55">
        <v>28</v>
      </c>
      <c r="B33" s="56" t="s">
        <v>41</v>
      </c>
      <c r="C33" s="67">
        <v>1633.9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>
        <v>326.78</v>
      </c>
    </row>
    <row r="38" spans="1:3" ht="15.75">
      <c r="A38" s="55">
        <v>33</v>
      </c>
      <c r="B38" s="56" t="s">
        <v>60</v>
      </c>
      <c r="C38" s="67">
        <v>326.78</v>
      </c>
    </row>
    <row r="39" spans="1:3" ht="15.75">
      <c r="A39" s="55">
        <v>34</v>
      </c>
      <c r="B39" s="56" t="s">
        <v>61</v>
      </c>
      <c r="C39" s="67">
        <v>326.78</v>
      </c>
    </row>
    <row r="40" spans="1:3" ht="15.75">
      <c r="A40" s="57"/>
      <c r="B40" s="57" t="s">
        <v>31</v>
      </c>
      <c r="C40" s="68">
        <f>SUM(C6:C39)</f>
        <v>20913.87</v>
      </c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C6" sqref="C6:C39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82</v>
      </c>
      <c r="B3" s="61"/>
      <c r="C3" s="61"/>
      <c r="D3" s="61"/>
      <c r="E3" s="61"/>
      <c r="F3" s="61"/>
    </row>
    <row r="4" spans="1:6" ht="14.25">
      <c r="A4" s="75"/>
      <c r="B4" s="75"/>
      <c r="C4" s="75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7"/>
      <c r="D6" s="67"/>
    </row>
    <row r="7" spans="1:4" ht="15.75">
      <c r="A7" s="55">
        <v>2</v>
      </c>
      <c r="B7" s="56" t="s">
        <v>7</v>
      </c>
      <c r="C7" s="67"/>
      <c r="D7" s="67"/>
    </row>
    <row r="8" spans="1:4" ht="15.75">
      <c r="A8" s="55">
        <v>3</v>
      </c>
      <c r="B8" s="56" t="s">
        <v>8</v>
      </c>
      <c r="C8" s="67"/>
      <c r="D8" s="67"/>
    </row>
    <row r="9" spans="1:4" ht="15.75">
      <c r="A9" s="55">
        <v>4</v>
      </c>
      <c r="B9" s="56" t="s">
        <v>9</v>
      </c>
      <c r="C9" s="67"/>
      <c r="D9" s="67"/>
    </row>
    <row r="10" spans="1:4" ht="15.75">
      <c r="A10" s="55">
        <v>5</v>
      </c>
      <c r="B10" s="56" t="s">
        <v>10</v>
      </c>
      <c r="C10" s="67"/>
      <c r="D10" s="67"/>
    </row>
    <row r="11" spans="1:4" ht="15.75">
      <c r="A11" s="55">
        <v>6</v>
      </c>
      <c r="B11" s="56" t="s">
        <v>11</v>
      </c>
      <c r="C11" s="67"/>
      <c r="D11" s="67"/>
    </row>
    <row r="12" spans="1:4" ht="15.75">
      <c r="A12" s="55">
        <v>7</v>
      </c>
      <c r="B12" s="56" t="s">
        <v>59</v>
      </c>
      <c r="C12" s="67"/>
      <c r="D12" s="67">
        <v>6446.25</v>
      </c>
    </row>
    <row r="13" spans="1:4" ht="15.75">
      <c r="A13" s="55">
        <v>8</v>
      </c>
      <c r="B13" s="56" t="s">
        <v>12</v>
      </c>
      <c r="C13" s="67"/>
      <c r="D13" s="67"/>
    </row>
    <row r="14" spans="1:4" ht="15.75">
      <c r="A14" s="55">
        <v>9</v>
      </c>
      <c r="B14" s="56" t="s">
        <v>13</v>
      </c>
      <c r="C14" s="67">
        <v>2866.47</v>
      </c>
      <c r="D14" s="67"/>
    </row>
    <row r="15" spans="1:4" ht="15.75">
      <c r="A15" s="55">
        <v>10</v>
      </c>
      <c r="B15" s="56" t="s">
        <v>14</v>
      </c>
      <c r="C15" s="67"/>
      <c r="D15" s="67"/>
    </row>
    <row r="16" spans="1:4" ht="15.75">
      <c r="A16" s="55">
        <v>11</v>
      </c>
      <c r="B16" s="56" t="s">
        <v>15</v>
      </c>
      <c r="C16" s="67"/>
      <c r="D16" s="67"/>
    </row>
    <row r="17" spans="1:4" ht="15.75">
      <c r="A17" s="55">
        <v>12</v>
      </c>
      <c r="B17" s="56" t="s">
        <v>16</v>
      </c>
      <c r="C17" s="67"/>
      <c r="D17" s="67"/>
    </row>
    <row r="18" spans="1:4" ht="15.75">
      <c r="A18" s="55">
        <v>13</v>
      </c>
      <c r="B18" s="56" t="s">
        <v>17</v>
      </c>
      <c r="C18" s="67">
        <v>3272.79</v>
      </c>
      <c r="D18" s="67">
        <v>12785.66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/>
      <c r="D22" s="67"/>
    </row>
    <row r="23" spans="1:4" ht="15.75">
      <c r="A23" s="55">
        <v>18</v>
      </c>
      <c r="B23" s="56" t="s">
        <v>22</v>
      </c>
      <c r="C23" s="67"/>
      <c r="D23" s="67">
        <v>9160.75</v>
      </c>
    </row>
    <row r="24" spans="1:4" ht="15.75">
      <c r="A24" s="55">
        <v>19</v>
      </c>
      <c r="B24" s="56" t="s">
        <v>23</v>
      </c>
      <c r="C24" s="67"/>
      <c r="D24" s="67"/>
    </row>
    <row r="25" spans="1:4" ht="15.75">
      <c r="A25" s="55">
        <v>20</v>
      </c>
      <c r="B25" s="56" t="s">
        <v>24</v>
      </c>
      <c r="C25" s="67"/>
      <c r="D25" s="67"/>
    </row>
    <row r="26" spans="1:4" ht="15.75">
      <c r="A26" s="55">
        <v>21</v>
      </c>
      <c r="B26" s="56" t="s">
        <v>25</v>
      </c>
      <c r="C26" s="67">
        <v>717.57</v>
      </c>
      <c r="D26" s="67">
        <v>2737.05</v>
      </c>
    </row>
    <row r="27" spans="1:4" ht="15.75">
      <c r="A27" s="55">
        <v>22</v>
      </c>
      <c r="B27" s="56" t="s">
        <v>26</v>
      </c>
      <c r="C27" s="67"/>
      <c r="D27" s="67"/>
    </row>
    <row r="28" spans="1:4" ht="15.75">
      <c r="A28" s="55">
        <v>23</v>
      </c>
      <c r="B28" s="56" t="s">
        <v>27</v>
      </c>
      <c r="C28" s="67"/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/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/>
      <c r="D33" s="67">
        <v>5521.4</v>
      </c>
    </row>
    <row r="34" spans="1:4" ht="15.75">
      <c r="A34" s="55">
        <v>29</v>
      </c>
      <c r="B34" s="56" t="s">
        <v>42</v>
      </c>
      <c r="C34" s="67"/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/>
      <c r="D39" s="67"/>
    </row>
    <row r="40" spans="1:4" ht="15.75">
      <c r="A40" s="57"/>
      <c r="B40" s="57" t="s">
        <v>31</v>
      </c>
      <c r="C40" s="68">
        <f>SUM(C6:C39)</f>
        <v>6856.83</v>
      </c>
      <c r="D40" s="68">
        <f>SUM(D6:D39)</f>
        <v>36651.11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1"/>
  <sheetViews>
    <sheetView view="pageBreakPreview" zoomScale="60" workbookViewId="0" topLeftCell="A1">
      <selection activeCell="D7" sqref="D7:D40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1" t="s">
        <v>72</v>
      </c>
      <c r="B3" s="71"/>
      <c r="C3" s="71"/>
      <c r="D3" s="71"/>
      <c r="E3" s="71"/>
      <c r="F3" s="71"/>
      <c r="G3" s="72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50" t="s">
        <v>0</v>
      </c>
      <c r="B6" s="51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55">
        <v>1</v>
      </c>
      <c r="B7" s="56" t="s">
        <v>6</v>
      </c>
      <c r="C7" s="44">
        <v>7105.48</v>
      </c>
      <c r="D7" s="44">
        <v>5668.43</v>
      </c>
      <c r="E7" s="45">
        <f>C7+D7</f>
        <v>12773.91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2449.42</v>
      </c>
      <c r="D8" s="6">
        <v>1959.7</v>
      </c>
      <c r="E8" s="45">
        <f aca="true" t="shared" si="0" ref="E8:E41">C8+D8</f>
        <v>4409.12</v>
      </c>
      <c r="F8" s="36"/>
      <c r="H8" s="3"/>
    </row>
    <row r="9" spans="1:8" ht="15.75">
      <c r="A9" s="55">
        <v>3</v>
      </c>
      <c r="B9" s="56" t="s">
        <v>8</v>
      </c>
      <c r="C9" s="1">
        <v>4441.64</v>
      </c>
      <c r="D9" s="6">
        <v>3553.25</v>
      </c>
      <c r="E9" s="45">
        <f t="shared" si="0"/>
        <v>7994.89</v>
      </c>
      <c r="F9" s="36"/>
      <c r="H9" s="3"/>
    </row>
    <row r="10" spans="1:8" ht="15.75">
      <c r="A10" s="55">
        <v>4</v>
      </c>
      <c r="B10" s="56" t="s">
        <v>9</v>
      </c>
      <c r="C10" s="6">
        <v>4760.31</v>
      </c>
      <c r="D10" s="6">
        <v>3808.21</v>
      </c>
      <c r="E10" s="45">
        <f t="shared" si="0"/>
        <v>8568.52</v>
      </c>
      <c r="F10" s="36"/>
      <c r="H10" s="3"/>
    </row>
    <row r="11" spans="1:8" ht="15.75">
      <c r="A11" s="55">
        <v>5</v>
      </c>
      <c r="B11" s="56" t="s">
        <v>10</v>
      </c>
      <c r="C11" s="6">
        <v>2360.81</v>
      </c>
      <c r="D11" s="6">
        <v>1888.6</v>
      </c>
      <c r="E11" s="45">
        <f t="shared" si="0"/>
        <v>4249.41</v>
      </c>
      <c r="F11" s="36"/>
      <c r="H11" s="3"/>
    </row>
    <row r="12" spans="1:8" ht="15.75">
      <c r="A12" s="55">
        <v>6</v>
      </c>
      <c r="B12" s="56" t="s">
        <v>11</v>
      </c>
      <c r="C12" s="6">
        <v>6249.98</v>
      </c>
      <c r="D12" s="6">
        <v>4999.84</v>
      </c>
      <c r="E12" s="45">
        <f t="shared" si="0"/>
        <v>11249.82</v>
      </c>
      <c r="F12" s="36"/>
      <c r="H12" s="3"/>
    </row>
    <row r="13" spans="1:8" ht="15.75">
      <c r="A13" s="55">
        <v>7</v>
      </c>
      <c r="B13" s="56" t="s">
        <v>59</v>
      </c>
      <c r="C13" s="6">
        <v>8403.16</v>
      </c>
      <c r="D13" s="6">
        <v>6723.07</v>
      </c>
      <c r="E13" s="45">
        <f t="shared" si="0"/>
        <v>15126.23</v>
      </c>
      <c r="F13" s="36"/>
      <c r="H13" s="3"/>
    </row>
    <row r="14" spans="1:8" ht="15.75">
      <c r="A14" s="55">
        <v>8</v>
      </c>
      <c r="B14" s="56" t="s">
        <v>12</v>
      </c>
      <c r="C14" s="6">
        <v>403.94</v>
      </c>
      <c r="D14" s="6">
        <v>323.17</v>
      </c>
      <c r="E14" s="45">
        <f t="shared" si="0"/>
        <v>727.11</v>
      </c>
      <c r="F14" s="36"/>
      <c r="H14" s="3"/>
    </row>
    <row r="15" spans="1:8" ht="15.75">
      <c r="A15" s="55">
        <v>9</v>
      </c>
      <c r="B15" s="56" t="s">
        <v>13</v>
      </c>
      <c r="C15" s="6">
        <v>3175.82</v>
      </c>
      <c r="D15" s="6">
        <v>2540.68</v>
      </c>
      <c r="E15" s="45">
        <f t="shared" si="0"/>
        <v>5716.5</v>
      </c>
      <c r="F15" s="36"/>
      <c r="H15" s="3"/>
    </row>
    <row r="16" spans="1:8" ht="15.75">
      <c r="A16" s="55">
        <v>10</v>
      </c>
      <c r="B16" s="56" t="s">
        <v>14</v>
      </c>
      <c r="C16" s="6">
        <v>8475.64</v>
      </c>
      <c r="D16" s="6">
        <v>6781.06</v>
      </c>
      <c r="E16" s="45">
        <f t="shared" si="0"/>
        <v>15256.7</v>
      </c>
      <c r="F16" s="36"/>
      <c r="H16" s="3"/>
    </row>
    <row r="17" spans="1:8" ht="15.75">
      <c r="A17" s="55">
        <v>11</v>
      </c>
      <c r="B17" s="56" t="s">
        <v>15</v>
      </c>
      <c r="C17" s="6">
        <v>5026.32</v>
      </c>
      <c r="D17" s="6">
        <v>4020.89</v>
      </c>
      <c r="E17" s="45">
        <f t="shared" si="0"/>
        <v>9047.21</v>
      </c>
      <c r="F17" s="36"/>
      <c r="H17" s="3"/>
    </row>
    <row r="18" spans="1:8" ht="15.75">
      <c r="A18" s="55">
        <v>12</v>
      </c>
      <c r="B18" s="56" t="s">
        <v>16</v>
      </c>
      <c r="C18" s="6">
        <v>1354.05</v>
      </c>
      <c r="D18" s="6">
        <v>1083.28</v>
      </c>
      <c r="E18" s="45">
        <f t="shared" si="0"/>
        <v>2437.33</v>
      </c>
      <c r="F18" s="36"/>
      <c r="H18" s="3"/>
    </row>
    <row r="19" spans="1:8" ht="15.75">
      <c r="A19" s="55">
        <v>13</v>
      </c>
      <c r="B19" s="56" t="s">
        <v>17</v>
      </c>
      <c r="C19" s="6">
        <v>3857.63</v>
      </c>
      <c r="D19" s="6">
        <v>3086.41</v>
      </c>
      <c r="E19" s="45">
        <f t="shared" si="0"/>
        <v>6944.04</v>
      </c>
      <c r="F19" s="36"/>
      <c r="H19" s="3"/>
    </row>
    <row r="20" spans="1:8" ht="15.75">
      <c r="A20" s="55">
        <v>14</v>
      </c>
      <c r="B20" s="56" t="s">
        <v>18</v>
      </c>
      <c r="C20" s="6">
        <v>4538.02</v>
      </c>
      <c r="D20" s="6">
        <v>3630.42</v>
      </c>
      <c r="E20" s="45">
        <f t="shared" si="0"/>
        <v>8168.4400000000005</v>
      </c>
      <c r="F20" s="36"/>
      <c r="H20" s="3"/>
    </row>
    <row r="21" spans="1:8" ht="15.75">
      <c r="A21" s="55">
        <v>15</v>
      </c>
      <c r="B21" s="56" t="s">
        <v>19</v>
      </c>
      <c r="C21" s="6">
        <v>0</v>
      </c>
      <c r="D21" s="6">
        <v>0</v>
      </c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1336.81</v>
      </c>
      <c r="D22" s="6">
        <v>1069.4</v>
      </c>
      <c r="E22" s="45">
        <f t="shared" si="0"/>
        <v>2406.21</v>
      </c>
      <c r="F22" s="36"/>
      <c r="H22" s="3"/>
    </row>
    <row r="23" spans="1:8" ht="15.75">
      <c r="A23" s="55">
        <v>17</v>
      </c>
      <c r="B23" s="56" t="s">
        <v>21</v>
      </c>
      <c r="C23" s="6">
        <v>4016.41</v>
      </c>
      <c r="D23" s="6">
        <v>3213.12</v>
      </c>
      <c r="E23" s="45">
        <f t="shared" si="0"/>
        <v>7229.53</v>
      </c>
      <c r="F23" s="36"/>
      <c r="H23" s="3"/>
    </row>
    <row r="24" spans="1:8" ht="15.75">
      <c r="A24" s="55">
        <v>18</v>
      </c>
      <c r="B24" s="56" t="s">
        <v>22</v>
      </c>
      <c r="C24" s="6">
        <v>5663.29</v>
      </c>
      <c r="D24" s="6">
        <v>4531.39</v>
      </c>
      <c r="E24" s="45">
        <f t="shared" si="0"/>
        <v>10194.68</v>
      </c>
      <c r="F24" s="36"/>
      <c r="H24" s="3"/>
    </row>
    <row r="25" spans="1:8" ht="15.75">
      <c r="A25" s="55">
        <v>19</v>
      </c>
      <c r="B25" s="56" t="s">
        <v>23</v>
      </c>
      <c r="C25" s="6">
        <v>1776.33</v>
      </c>
      <c r="D25" s="6">
        <v>1421.09</v>
      </c>
      <c r="E25" s="45">
        <f t="shared" si="0"/>
        <v>3197.42</v>
      </c>
      <c r="F25" s="36"/>
      <c r="H25" s="3"/>
    </row>
    <row r="26" spans="1:8" ht="15.75">
      <c r="A26" s="55">
        <v>20</v>
      </c>
      <c r="B26" s="56" t="s">
        <v>24</v>
      </c>
      <c r="C26" s="6">
        <v>2387.24</v>
      </c>
      <c r="D26" s="6">
        <v>1909.8</v>
      </c>
      <c r="E26" s="45">
        <f t="shared" si="0"/>
        <v>4297.04</v>
      </c>
      <c r="F26" s="36"/>
      <c r="H26" s="3"/>
    </row>
    <row r="27" spans="1:8" ht="15.75">
      <c r="A27" s="55">
        <v>21</v>
      </c>
      <c r="B27" s="56" t="s">
        <v>25</v>
      </c>
      <c r="C27" s="6">
        <v>5283.64</v>
      </c>
      <c r="D27" s="6">
        <v>4228.1</v>
      </c>
      <c r="E27" s="45">
        <f t="shared" si="0"/>
        <v>9511.740000000002</v>
      </c>
      <c r="F27" s="36"/>
      <c r="H27" s="3"/>
    </row>
    <row r="28" spans="1:8" ht="15.75">
      <c r="A28" s="55">
        <v>22</v>
      </c>
      <c r="B28" s="56" t="s">
        <v>26</v>
      </c>
      <c r="C28" s="6">
        <v>162.35</v>
      </c>
      <c r="D28" s="6">
        <v>129.87</v>
      </c>
      <c r="E28" s="45">
        <f t="shared" si="0"/>
        <v>292.22</v>
      </c>
      <c r="F28" s="36"/>
      <c r="H28" s="3"/>
    </row>
    <row r="29" spans="1:8" ht="15.75">
      <c r="A29" s="55">
        <v>23</v>
      </c>
      <c r="B29" s="56" t="s">
        <v>27</v>
      </c>
      <c r="C29" s="6">
        <v>2196.71</v>
      </c>
      <c r="D29" s="6">
        <v>1757.29</v>
      </c>
      <c r="E29" s="45">
        <f t="shared" si="0"/>
        <v>3954</v>
      </c>
      <c r="F29" s="36"/>
      <c r="H29" s="3"/>
    </row>
    <row r="30" spans="1:8" ht="15.75">
      <c r="A30" s="55">
        <v>24</v>
      </c>
      <c r="B30" s="56" t="s">
        <v>28</v>
      </c>
      <c r="C30" s="6">
        <v>3518.21</v>
      </c>
      <c r="D30" s="6">
        <v>2814.54</v>
      </c>
      <c r="E30" s="45">
        <f t="shared" si="0"/>
        <v>6332.75</v>
      </c>
      <c r="F30" s="36"/>
      <c r="H30" s="3"/>
    </row>
    <row r="31" spans="1:8" ht="15.75">
      <c r="A31" s="55">
        <v>25</v>
      </c>
      <c r="B31" s="56" t="s">
        <v>29</v>
      </c>
      <c r="C31" s="6">
        <v>6532</v>
      </c>
      <c r="D31" s="6">
        <v>5225.44</v>
      </c>
      <c r="E31" s="45">
        <f t="shared" si="0"/>
        <v>11757.439999999999</v>
      </c>
      <c r="F31" s="36"/>
      <c r="H31" s="3"/>
    </row>
    <row r="32" spans="1:8" ht="15.75">
      <c r="A32" s="55">
        <v>26</v>
      </c>
      <c r="B32" s="56" t="s">
        <v>30</v>
      </c>
      <c r="C32" s="6">
        <v>9637.91</v>
      </c>
      <c r="D32" s="6">
        <v>7710.49</v>
      </c>
      <c r="E32" s="45">
        <f t="shared" si="0"/>
        <v>17348.4</v>
      </c>
      <c r="F32" s="36"/>
      <c r="H32" s="3"/>
    </row>
    <row r="33" spans="1:8" ht="15.75">
      <c r="A33" s="55">
        <v>27</v>
      </c>
      <c r="B33" s="56" t="s">
        <v>40</v>
      </c>
      <c r="C33" s="6">
        <v>820.87</v>
      </c>
      <c r="D33" s="6">
        <v>656.74</v>
      </c>
      <c r="E33" s="45">
        <f t="shared" si="0"/>
        <v>1477.6100000000001</v>
      </c>
      <c r="F33" s="36"/>
      <c r="H33" s="3"/>
    </row>
    <row r="34" spans="1:8" ht="15.75">
      <c r="A34" s="55">
        <v>28</v>
      </c>
      <c r="B34" s="56" t="s">
        <v>41</v>
      </c>
      <c r="C34" s="6">
        <v>3666.41</v>
      </c>
      <c r="D34" s="6">
        <v>2933.09</v>
      </c>
      <c r="E34" s="45">
        <f t="shared" si="0"/>
        <v>6599.5</v>
      </c>
      <c r="F34" s="36"/>
      <c r="H34" s="3"/>
    </row>
    <row r="35" spans="1:8" ht="15.75">
      <c r="A35" s="55">
        <v>29</v>
      </c>
      <c r="B35" s="56" t="s">
        <v>42</v>
      </c>
      <c r="C35" s="6">
        <v>3276.97</v>
      </c>
      <c r="D35" s="6">
        <v>2621.53</v>
      </c>
      <c r="E35" s="45">
        <f t="shared" si="0"/>
        <v>5898.5</v>
      </c>
      <c r="F35" s="36"/>
      <c r="H35" s="3"/>
    </row>
    <row r="36" spans="1:8" ht="15.75">
      <c r="A36" s="55">
        <v>30</v>
      </c>
      <c r="B36" s="56" t="s">
        <v>44</v>
      </c>
      <c r="C36" s="6">
        <v>2053.06</v>
      </c>
      <c r="D36" s="6">
        <v>1642.41</v>
      </c>
      <c r="E36" s="45">
        <f t="shared" si="0"/>
        <v>3695.4700000000003</v>
      </c>
      <c r="F36" s="36"/>
      <c r="H36" s="3"/>
    </row>
    <row r="37" spans="1:8" ht="15.75">
      <c r="A37" s="55">
        <v>31</v>
      </c>
      <c r="B37" s="56" t="s">
        <v>45</v>
      </c>
      <c r="C37" s="6">
        <v>0</v>
      </c>
      <c r="D37" s="6">
        <v>0</v>
      </c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2419.47</v>
      </c>
      <c r="D38" s="6">
        <v>1935.73</v>
      </c>
      <c r="E38" s="45">
        <f t="shared" si="0"/>
        <v>4355.2</v>
      </c>
      <c r="F38" s="36"/>
      <c r="H38" s="3"/>
    </row>
    <row r="39" spans="1:8" ht="15.75">
      <c r="A39" s="55">
        <v>33</v>
      </c>
      <c r="B39" s="56" t="s">
        <v>60</v>
      </c>
      <c r="C39" s="6">
        <v>88.4</v>
      </c>
      <c r="D39" s="6">
        <v>70.72</v>
      </c>
      <c r="E39" s="45">
        <f t="shared" si="0"/>
        <v>159.12</v>
      </c>
      <c r="F39" s="36"/>
      <c r="H39" s="3"/>
    </row>
    <row r="40" spans="1:8" ht="15.75">
      <c r="A40" s="55">
        <v>34</v>
      </c>
      <c r="B40" s="56" t="s">
        <v>61</v>
      </c>
      <c r="C40" s="6">
        <v>987.76</v>
      </c>
      <c r="D40" s="6">
        <v>790.2</v>
      </c>
      <c r="E40" s="45">
        <f t="shared" si="0"/>
        <v>1777.96</v>
      </c>
      <c r="F40" s="36"/>
      <c r="H40" s="3"/>
    </row>
    <row r="41" spans="1:8" ht="15.75">
      <c r="A41" s="57"/>
      <c r="B41" s="57" t="s">
        <v>31</v>
      </c>
      <c r="C41" s="69">
        <f>SUM(C7:C40)</f>
        <v>118426.06000000001</v>
      </c>
      <c r="D41" s="69">
        <f>SUM(D7:D40)</f>
        <v>94727.95999999999</v>
      </c>
      <c r="E41" s="45">
        <f t="shared" si="0"/>
        <v>213154.02000000002</v>
      </c>
      <c r="F41" s="36"/>
      <c r="H41" s="3"/>
    </row>
    <row r="43" ht="12.75">
      <c r="D43" s="3"/>
    </row>
    <row r="44" ht="12.75">
      <c r="C44" s="3"/>
    </row>
    <row r="45" ht="12.75">
      <c r="E45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9"/>
  <sheetViews>
    <sheetView workbookViewId="0" topLeftCell="A13">
      <selection activeCell="C46" sqref="C46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73" t="s">
        <v>73</v>
      </c>
      <c r="B3" s="73"/>
      <c r="C3" s="73"/>
      <c r="D3" s="73"/>
      <c r="E3" s="73"/>
      <c r="F3" s="73"/>
      <c r="G3" s="73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70">
        <v>35146.54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70">
        <v>14405.36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70">
        <v>6937.54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70">
        <v>3518.31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70">
        <v>19728.35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70">
        <v>55073.47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70">
        <v>24431.4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70">
        <v>16372.16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70">
        <v>15849.64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70">
        <v>31510.16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70">
        <v>18588.98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70">
        <v>4914.42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70">
        <v>18915.72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70">
        <v>3059.82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70"/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70">
        <v>1565.24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70">
        <v>8866.32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70">
        <v>22466.47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70">
        <v>4735.61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70">
        <v>2958.37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70">
        <v>32651.22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70">
        <v>8410.33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70">
        <v>8800.39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70">
        <v>4217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70">
        <v>10085.84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70">
        <v>16773.04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70">
        <v>747.6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70">
        <v>14020.07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70">
        <v>5090.31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70">
        <v>1198.12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70"/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70">
        <v>1556.92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70">
        <v>817.79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70">
        <v>4971.54</v>
      </c>
      <c r="D39" s="1"/>
      <c r="E39" s="1"/>
      <c r="F39" s="36"/>
      <c r="G39" s="36"/>
    </row>
    <row r="40" spans="1:7" ht="15.75">
      <c r="A40" s="57"/>
      <c r="B40" s="57" t="s">
        <v>31</v>
      </c>
      <c r="C40" s="7">
        <f>SUM(C6:C39)</f>
        <v>418384.04999999993</v>
      </c>
      <c r="D40" s="1"/>
      <c r="E40" s="1"/>
      <c r="F40" s="36"/>
      <c r="G40" s="36"/>
    </row>
    <row r="41" spans="1:7" ht="14.25">
      <c r="A41" s="36"/>
      <c r="B41" s="36"/>
      <c r="C41" s="38"/>
      <c r="D41" s="1"/>
      <c r="E41" s="1"/>
      <c r="F41" s="36"/>
      <c r="G41" s="36"/>
    </row>
    <row r="42" spans="1:7" ht="14.25">
      <c r="A42" s="36"/>
      <c r="B42" s="36"/>
      <c r="C42" s="38"/>
      <c r="D42" s="1"/>
      <c r="E42" s="36"/>
      <c r="F42" s="36"/>
      <c r="G42" s="36"/>
    </row>
    <row r="43" ht="12.75">
      <c r="C43" s="3"/>
    </row>
    <row r="44" spans="2:4" ht="12.75">
      <c r="B44" s="3"/>
      <c r="C44" s="3"/>
      <c r="D44" s="5"/>
    </row>
    <row r="45" spans="3:4" ht="12.75">
      <c r="C45" s="3"/>
      <c r="D45" s="3"/>
    </row>
    <row r="46" spans="3:4" ht="12.75">
      <c r="C46" s="3"/>
      <c r="D46" s="3"/>
    </row>
    <row r="48" spans="3:4" ht="12.75">
      <c r="C48" s="3"/>
      <c r="D48" s="3"/>
    </row>
    <row r="49" ht="12.75">
      <c r="D49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1"/>
  <sheetViews>
    <sheetView workbookViewId="0" topLeftCell="A1">
      <selection activeCell="A4" sqref="A4:H41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74" t="s">
        <v>74</v>
      </c>
      <c r="B4" s="74"/>
      <c r="C4" s="74"/>
      <c r="D4" s="74"/>
      <c r="E4" s="74"/>
      <c r="F4" s="74"/>
      <c r="G4" s="74"/>
      <c r="H4" s="74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18243.58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399.48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7">
        <v>1752.83</v>
      </c>
    </row>
    <row r="10" spans="1:3" ht="15.75">
      <c r="A10" s="55">
        <v>4</v>
      </c>
      <c r="B10" s="56" t="s">
        <v>9</v>
      </c>
      <c r="C10" s="67">
        <v>602.65</v>
      </c>
    </row>
    <row r="11" spans="1:3" ht="15.75">
      <c r="A11" s="55">
        <v>5</v>
      </c>
      <c r="B11" s="56" t="s">
        <v>10</v>
      </c>
      <c r="C11" s="67">
        <v>4739.27</v>
      </c>
    </row>
    <row r="12" spans="1:3" ht="15.75">
      <c r="A12" s="55">
        <v>6</v>
      </c>
      <c r="B12" s="56" t="s">
        <v>11</v>
      </c>
      <c r="C12" s="67">
        <v>6605.12</v>
      </c>
    </row>
    <row r="13" spans="1:3" ht="15.75">
      <c r="A13" s="55">
        <v>7</v>
      </c>
      <c r="B13" s="56" t="s">
        <v>59</v>
      </c>
      <c r="C13" s="67">
        <v>4358.94</v>
      </c>
    </row>
    <row r="14" spans="1:3" ht="15.75">
      <c r="A14" s="55">
        <v>8</v>
      </c>
      <c r="B14" s="56" t="s">
        <v>12</v>
      </c>
      <c r="C14" s="67">
        <v>15653.94</v>
      </c>
    </row>
    <row r="15" spans="1:3" ht="15.75">
      <c r="A15" s="55">
        <v>9</v>
      </c>
      <c r="B15" s="56" t="s">
        <v>13</v>
      </c>
      <c r="C15" s="67">
        <v>3380.73</v>
      </c>
    </row>
    <row r="16" spans="1:3" ht="15.75">
      <c r="A16" s="55">
        <v>10</v>
      </c>
      <c r="B16" s="56" t="s">
        <v>14</v>
      </c>
      <c r="C16" s="67">
        <v>9108.87</v>
      </c>
    </row>
    <row r="17" spans="1:3" ht="15.75">
      <c r="A17" s="55">
        <v>11</v>
      </c>
      <c r="B17" s="56" t="s">
        <v>15</v>
      </c>
      <c r="C17" s="67">
        <v>12181.78</v>
      </c>
    </row>
    <row r="18" spans="1:3" ht="15.75">
      <c r="A18" s="55">
        <v>12</v>
      </c>
      <c r="B18" s="56" t="s">
        <v>16</v>
      </c>
      <c r="C18" s="67">
        <v>4692.77</v>
      </c>
    </row>
    <row r="19" spans="1:3" ht="15.75">
      <c r="A19" s="55">
        <v>13</v>
      </c>
      <c r="B19" s="56" t="s">
        <v>17</v>
      </c>
      <c r="C19" s="67">
        <v>12982.16</v>
      </c>
    </row>
    <row r="20" spans="1:3" ht="15.75">
      <c r="A20" s="55">
        <v>14</v>
      </c>
      <c r="B20" s="56" t="s">
        <v>18</v>
      </c>
      <c r="C20" s="67"/>
    </row>
    <row r="21" spans="1:3" ht="15.75">
      <c r="A21" s="55">
        <v>15</v>
      </c>
      <c r="B21" s="56" t="s">
        <v>19</v>
      </c>
      <c r="C21" s="67"/>
    </row>
    <row r="22" spans="1:3" ht="15.75">
      <c r="A22" s="55">
        <v>16</v>
      </c>
      <c r="B22" s="56" t="s">
        <v>20</v>
      </c>
      <c r="C22" s="67">
        <v>352.74</v>
      </c>
    </row>
    <row r="23" spans="1:3" ht="15.75">
      <c r="A23" s="55">
        <v>17</v>
      </c>
      <c r="B23" s="56" t="s">
        <v>21</v>
      </c>
      <c r="C23" s="67">
        <v>6867.24</v>
      </c>
    </row>
    <row r="24" spans="1:3" ht="15.75">
      <c r="A24" s="55">
        <v>18</v>
      </c>
      <c r="B24" s="56" t="s">
        <v>22</v>
      </c>
      <c r="C24" s="67">
        <v>4115.16</v>
      </c>
    </row>
    <row r="25" spans="1:3" ht="15.75">
      <c r="A25" s="55">
        <v>19</v>
      </c>
      <c r="B25" s="56" t="s">
        <v>23</v>
      </c>
      <c r="C25" s="67">
        <v>1084.43</v>
      </c>
    </row>
    <row r="26" spans="1:3" ht="15.75">
      <c r="A26" s="55">
        <v>20</v>
      </c>
      <c r="B26" s="56" t="s">
        <v>24</v>
      </c>
      <c r="C26" s="67"/>
    </row>
    <row r="27" spans="1:3" ht="15.75">
      <c r="A27" s="55">
        <v>21</v>
      </c>
      <c r="B27" s="56" t="s">
        <v>25</v>
      </c>
      <c r="C27" s="67">
        <v>4193.13</v>
      </c>
    </row>
    <row r="28" spans="1:3" ht="15.75">
      <c r="A28" s="55">
        <v>22</v>
      </c>
      <c r="B28" s="56" t="s">
        <v>26</v>
      </c>
      <c r="C28" s="67">
        <v>4063.54</v>
      </c>
    </row>
    <row r="29" spans="1:3" ht="15.75">
      <c r="A29" s="55">
        <v>23</v>
      </c>
      <c r="B29" s="56" t="s">
        <v>27</v>
      </c>
      <c r="C29" s="67">
        <v>1766.48</v>
      </c>
    </row>
    <row r="30" spans="1:3" ht="15.75">
      <c r="A30" s="55">
        <v>24</v>
      </c>
      <c r="B30" s="56" t="s">
        <v>28</v>
      </c>
      <c r="C30" s="67"/>
    </row>
    <row r="31" spans="1:3" ht="15.75">
      <c r="A31" s="55">
        <v>25</v>
      </c>
      <c r="B31" s="56" t="s">
        <v>29</v>
      </c>
      <c r="C31" s="67">
        <v>7114.05</v>
      </c>
    </row>
    <row r="32" spans="1:3" ht="15.75">
      <c r="A32" s="55">
        <v>26</v>
      </c>
      <c r="B32" s="56" t="s">
        <v>30</v>
      </c>
      <c r="C32" s="67">
        <v>1352.85</v>
      </c>
    </row>
    <row r="33" spans="1:3" ht="15.75">
      <c r="A33" s="55">
        <v>27</v>
      </c>
      <c r="B33" s="56" t="s">
        <v>40</v>
      </c>
      <c r="C33" s="67">
        <v>599.66</v>
      </c>
    </row>
    <row r="34" spans="1:3" ht="15.75">
      <c r="A34" s="55">
        <v>28</v>
      </c>
      <c r="B34" s="56" t="s">
        <v>41</v>
      </c>
      <c r="C34" s="67">
        <v>2067.47</v>
      </c>
    </row>
    <row r="35" spans="1:3" ht="15.75">
      <c r="A35" s="55">
        <v>29</v>
      </c>
      <c r="B35" s="56" t="s">
        <v>42</v>
      </c>
      <c r="C35" s="67">
        <v>3965.83</v>
      </c>
    </row>
    <row r="36" spans="1:3" ht="15.75">
      <c r="A36" s="55">
        <v>30</v>
      </c>
      <c r="B36" s="56" t="s">
        <v>44</v>
      </c>
      <c r="C36" s="67">
        <v>591.39</v>
      </c>
    </row>
    <row r="37" spans="1:3" ht="15.75">
      <c r="A37" s="55">
        <v>31</v>
      </c>
      <c r="B37" s="56" t="s">
        <v>45</v>
      </c>
      <c r="C37" s="67"/>
    </row>
    <row r="38" spans="1:3" ht="15.75">
      <c r="A38" s="55">
        <v>32</v>
      </c>
      <c r="B38" s="56" t="s">
        <v>47</v>
      </c>
      <c r="C38" s="67"/>
    </row>
    <row r="39" spans="1:3" ht="15.75">
      <c r="A39" s="55">
        <v>33</v>
      </c>
      <c r="B39" s="56" t="s">
        <v>60</v>
      </c>
      <c r="C39" s="67"/>
    </row>
    <row r="40" spans="1:3" ht="15.75">
      <c r="A40" s="55">
        <v>34</v>
      </c>
      <c r="B40" s="56" t="s">
        <v>61</v>
      </c>
      <c r="C40" s="67"/>
    </row>
    <row r="41" spans="1:3" ht="15.75">
      <c r="A41" s="57"/>
      <c r="B41" s="57" t="s">
        <v>31</v>
      </c>
      <c r="C41" s="68">
        <f>SUM(C7:C40)</f>
        <v>132836.09000000005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A3" sqref="A3:G40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74" t="s">
        <v>75</v>
      </c>
      <c r="B3" s="74"/>
      <c r="C3" s="74"/>
      <c r="D3" s="74"/>
      <c r="E3" s="74"/>
      <c r="F3" s="74"/>
      <c r="G3" s="74"/>
    </row>
    <row r="4" spans="1:7" ht="15">
      <c r="A4" s="75"/>
      <c r="B4" s="75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22847.36</v>
      </c>
      <c r="D6" s="6">
        <v>55708.43</v>
      </c>
      <c r="E6" s="7">
        <f>C6+D6</f>
        <v>78555.79000000001</v>
      </c>
      <c r="F6" s="36"/>
      <c r="G6" s="36"/>
    </row>
    <row r="7" spans="1:7" ht="15.75">
      <c r="A7" s="55">
        <v>2</v>
      </c>
      <c r="B7" s="56" t="s">
        <v>7</v>
      </c>
      <c r="C7" s="6">
        <f>4788.75+3180.32</f>
        <v>7969.07</v>
      </c>
      <c r="D7" s="6">
        <f>11088.07+7166.12</f>
        <v>18254.19</v>
      </c>
      <c r="E7" s="7">
        <f aca="true" t="shared" si="0" ref="E7:E40">C7+D7</f>
        <v>26223.26</v>
      </c>
      <c r="F7" s="36"/>
      <c r="G7" s="36"/>
    </row>
    <row r="8" spans="1:7" ht="15.75">
      <c r="A8" s="55">
        <v>3</v>
      </c>
      <c r="B8" s="56" t="s">
        <v>8</v>
      </c>
      <c r="C8" s="6">
        <f>312.68+1429.01</f>
        <v>1741.69</v>
      </c>
      <c r="D8" s="6">
        <f>558.08+5444.54</f>
        <v>6002.62</v>
      </c>
      <c r="E8" s="7">
        <f t="shared" si="0"/>
        <v>7744.3099999999995</v>
      </c>
      <c r="F8" s="36"/>
      <c r="G8" s="36"/>
    </row>
    <row r="9" spans="1:7" ht="15.75">
      <c r="A9" s="55">
        <v>4</v>
      </c>
      <c r="B9" s="56" t="s">
        <v>9</v>
      </c>
      <c r="C9" s="6">
        <v>1266.68</v>
      </c>
      <c r="D9" s="6">
        <v>6279.8</v>
      </c>
      <c r="E9" s="7">
        <f t="shared" si="0"/>
        <v>7546.4800000000005</v>
      </c>
      <c r="F9" s="36"/>
      <c r="G9" s="36"/>
    </row>
    <row r="10" spans="1:7" ht="15.75">
      <c r="A10" s="55">
        <v>5</v>
      </c>
      <c r="B10" s="56" t="s">
        <v>10</v>
      </c>
      <c r="C10" s="6">
        <v>3777.78</v>
      </c>
      <c r="D10" s="6">
        <v>15666.3</v>
      </c>
      <c r="E10" s="7">
        <f t="shared" si="0"/>
        <v>19444.079999999998</v>
      </c>
      <c r="F10" s="36"/>
      <c r="G10" s="36"/>
    </row>
    <row r="11" spans="1:7" ht="15.75">
      <c r="A11" s="55">
        <v>6</v>
      </c>
      <c r="B11" s="56" t="s">
        <v>11</v>
      </c>
      <c r="C11" s="6">
        <f>14390.55+3566.28+8349.13</f>
        <v>26305.96</v>
      </c>
      <c r="D11" s="6">
        <f>25327.56+11223.74+14187.11</f>
        <v>50738.41</v>
      </c>
      <c r="E11" s="7">
        <f t="shared" si="0"/>
        <v>77044.37</v>
      </c>
      <c r="F11" s="36"/>
      <c r="G11" s="36"/>
    </row>
    <row r="12" spans="1:7" ht="15.75">
      <c r="A12" s="55">
        <v>7</v>
      </c>
      <c r="B12" s="56" t="s">
        <v>59</v>
      </c>
      <c r="C12" s="6">
        <f>235.08+4680.11+470.36+5086.73+313.35+1776.96</f>
        <v>12562.59</v>
      </c>
      <c r="D12" s="6">
        <f>1494.5+7714.17+2743.03+4247.03+2923.98+6636.73</f>
        <v>25759.44</v>
      </c>
      <c r="E12" s="7">
        <f t="shared" si="0"/>
        <v>38322.03</v>
      </c>
      <c r="F12" s="36"/>
      <c r="G12" s="36"/>
    </row>
    <row r="13" spans="1:7" ht="15.75">
      <c r="A13" s="55">
        <v>8</v>
      </c>
      <c r="B13" s="56" t="s">
        <v>12</v>
      </c>
      <c r="C13" s="6">
        <v>22370</v>
      </c>
      <c r="D13" s="6">
        <v>40282</v>
      </c>
      <c r="E13" s="7">
        <f t="shared" si="0"/>
        <v>62652</v>
      </c>
      <c r="F13" s="36"/>
      <c r="G13" s="36"/>
    </row>
    <row r="14" spans="1:7" ht="15.75">
      <c r="A14" s="55">
        <v>9</v>
      </c>
      <c r="B14" s="56" t="s">
        <v>13</v>
      </c>
      <c r="C14" s="6">
        <f>11745.7+2081.06</f>
        <v>13826.76</v>
      </c>
      <c r="D14" s="6">
        <f>26285.9+8749.81</f>
        <v>35035.71</v>
      </c>
      <c r="E14" s="7">
        <f t="shared" si="0"/>
        <v>48862.47</v>
      </c>
      <c r="F14" s="36"/>
      <c r="G14" s="36"/>
    </row>
    <row r="15" spans="1:7" ht="15.75">
      <c r="A15" s="55">
        <v>10</v>
      </c>
      <c r="B15" s="56" t="s">
        <v>14</v>
      </c>
      <c r="C15" s="6">
        <f>4502.65+5828.82+3031.53</f>
        <v>13363</v>
      </c>
      <c r="D15" s="6">
        <f>11821.53+5869.26+7880.89</f>
        <v>25571.68</v>
      </c>
      <c r="E15" s="7">
        <f t="shared" si="0"/>
        <v>38934.68</v>
      </c>
      <c r="F15" s="36"/>
      <c r="G15" s="36"/>
    </row>
    <row r="16" spans="1:7" ht="15.75">
      <c r="A16" s="55">
        <v>11</v>
      </c>
      <c r="B16" s="56" t="s">
        <v>15</v>
      </c>
      <c r="C16" s="6">
        <v>13552.67</v>
      </c>
      <c r="D16" s="6">
        <v>26206.88</v>
      </c>
      <c r="E16" s="7">
        <f t="shared" si="0"/>
        <v>39759.55</v>
      </c>
      <c r="F16" s="36"/>
      <c r="G16" s="36"/>
    </row>
    <row r="17" spans="1:7" ht="15.75">
      <c r="A17" s="55">
        <v>12</v>
      </c>
      <c r="B17" s="56" t="s">
        <v>16</v>
      </c>
      <c r="C17" s="6">
        <v>3202.64</v>
      </c>
      <c r="D17" s="6">
        <v>5638.45</v>
      </c>
      <c r="E17" s="7">
        <f t="shared" si="0"/>
        <v>8841.09</v>
      </c>
      <c r="F17" s="36"/>
      <c r="G17" s="36"/>
    </row>
    <row r="18" spans="1:7" ht="15.75">
      <c r="A18" s="55">
        <v>13</v>
      </c>
      <c r="B18" s="56" t="s">
        <v>17</v>
      </c>
      <c r="C18" s="6">
        <v>12375</v>
      </c>
      <c r="D18" s="6">
        <v>22672.61</v>
      </c>
      <c r="E18" s="7">
        <f t="shared" si="0"/>
        <v>35047.61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/>
      <c r="D21" s="6"/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4380.59</v>
      </c>
      <c r="D22" s="6">
        <v>12364.43</v>
      </c>
      <c r="E22" s="7">
        <f t="shared" si="0"/>
        <v>16745.02</v>
      </c>
      <c r="F22" s="36"/>
      <c r="G22" s="36"/>
    </row>
    <row r="23" spans="1:7" ht="15.75">
      <c r="A23" s="55">
        <v>18</v>
      </c>
      <c r="B23" s="56" t="s">
        <v>22</v>
      </c>
      <c r="C23" s="6">
        <f>3743.47+287.63+8539.53</f>
        <v>12570.630000000001</v>
      </c>
      <c r="D23" s="6">
        <f>7014.39+2638.07+13783.76</f>
        <v>23436.22</v>
      </c>
      <c r="E23" s="7">
        <f t="shared" si="0"/>
        <v>36006.850000000006</v>
      </c>
      <c r="F23" s="36"/>
      <c r="G23" s="36"/>
    </row>
    <row r="24" spans="1:7" ht="15.75">
      <c r="A24" s="55">
        <v>19</v>
      </c>
      <c r="B24" s="56" t="s">
        <v>23</v>
      </c>
      <c r="C24" s="6">
        <v>923.46</v>
      </c>
      <c r="D24" s="6">
        <v>2138.76</v>
      </c>
      <c r="E24" s="7">
        <f t="shared" si="0"/>
        <v>3062.2200000000003</v>
      </c>
      <c r="F24" s="36"/>
      <c r="G24" s="36"/>
    </row>
    <row r="25" spans="1:7" ht="15.75">
      <c r="A25" s="55">
        <v>20</v>
      </c>
      <c r="B25" s="56" t="s">
        <v>24</v>
      </c>
      <c r="C25" s="6">
        <v>182.52</v>
      </c>
      <c r="D25" s="6">
        <v>672.17</v>
      </c>
      <c r="E25" s="7">
        <f t="shared" si="0"/>
        <v>854.6899999999999</v>
      </c>
      <c r="F25" s="36"/>
      <c r="G25" s="36"/>
    </row>
    <row r="26" spans="1:7" ht="15.75">
      <c r="A26" s="55">
        <v>21</v>
      </c>
      <c r="B26" s="56" t="s">
        <v>25</v>
      </c>
      <c r="C26" s="6">
        <f>7343.44+2498.56+329.87</f>
        <v>10171.87</v>
      </c>
      <c r="D26" s="6">
        <f>13412.58+5476.23+1586.7</f>
        <v>20475.51</v>
      </c>
      <c r="E26" s="7">
        <f t="shared" si="0"/>
        <v>30647.379999999997</v>
      </c>
      <c r="F26" s="36"/>
      <c r="G26" s="36"/>
    </row>
    <row r="27" spans="1:7" ht="15.75">
      <c r="A27" s="55">
        <v>22</v>
      </c>
      <c r="B27" s="56" t="s">
        <v>26</v>
      </c>
      <c r="C27" s="6">
        <v>3816.09</v>
      </c>
      <c r="D27" s="6">
        <v>7011.87</v>
      </c>
      <c r="E27" s="7">
        <f t="shared" si="0"/>
        <v>10827.96</v>
      </c>
      <c r="F27" s="36"/>
      <c r="G27" s="36"/>
    </row>
    <row r="28" spans="1:7" ht="15.75">
      <c r="A28" s="55">
        <v>23</v>
      </c>
      <c r="B28" s="56" t="s">
        <v>27</v>
      </c>
      <c r="C28" s="6">
        <v>3991.59</v>
      </c>
      <c r="D28" s="6">
        <v>4282.16</v>
      </c>
      <c r="E28" s="7">
        <f t="shared" si="0"/>
        <v>8273.75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1758.82+4440.79+3697.68</f>
        <v>9897.289999999999</v>
      </c>
      <c r="D30" s="6">
        <f>1485.43+8405.6+5229.27</f>
        <v>15120.300000000001</v>
      </c>
      <c r="E30" s="7">
        <f t="shared" si="0"/>
        <v>25017.59</v>
      </c>
      <c r="F30" s="36"/>
      <c r="G30" s="36"/>
    </row>
    <row r="31" spans="1:7" ht="15.75">
      <c r="A31" s="55">
        <v>26</v>
      </c>
      <c r="B31" s="56" t="s">
        <v>30</v>
      </c>
      <c r="C31" s="6">
        <v>196.58</v>
      </c>
      <c r="D31" s="6">
        <v>2241.75</v>
      </c>
      <c r="E31" s="7">
        <f t="shared" si="0"/>
        <v>2438.33</v>
      </c>
      <c r="F31" s="36"/>
      <c r="G31" s="36"/>
    </row>
    <row r="32" spans="1:7" ht="15.75">
      <c r="A32" s="55">
        <v>27</v>
      </c>
      <c r="B32" s="56" t="s">
        <v>40</v>
      </c>
      <c r="C32" s="6">
        <v>261.05</v>
      </c>
      <c r="D32" s="6">
        <v>735.46</v>
      </c>
      <c r="E32" s="7">
        <f t="shared" si="0"/>
        <v>996.51</v>
      </c>
      <c r="F32" s="36"/>
      <c r="G32" s="36"/>
    </row>
    <row r="33" spans="1:7" ht="15.75">
      <c r="A33" s="55">
        <v>28</v>
      </c>
      <c r="B33" s="56" t="s">
        <v>41</v>
      </c>
      <c r="C33" s="6">
        <f>2006.93+1025.82+294.87</f>
        <v>3327.62</v>
      </c>
      <c r="D33" s="6">
        <f>3988.24+5090.19+1343.19</f>
        <v>10421.62</v>
      </c>
      <c r="E33" s="7">
        <f t="shared" si="0"/>
        <v>13749.240000000002</v>
      </c>
      <c r="F33" s="36"/>
      <c r="G33" s="36"/>
    </row>
    <row r="34" spans="1:7" ht="15.75">
      <c r="A34" s="55">
        <v>29</v>
      </c>
      <c r="B34" s="56" t="s">
        <v>42</v>
      </c>
      <c r="C34" s="6">
        <v>2811.14</v>
      </c>
      <c r="D34" s="6">
        <v>12115</v>
      </c>
      <c r="E34" s="7">
        <f t="shared" si="0"/>
        <v>14926.14</v>
      </c>
      <c r="F34" s="36"/>
      <c r="G34" s="36"/>
    </row>
    <row r="35" spans="1:7" ht="15.75">
      <c r="A35" s="55">
        <v>30</v>
      </c>
      <c r="B35" s="56" t="s">
        <v>44</v>
      </c>
      <c r="C35" s="6">
        <v>35.04</v>
      </c>
      <c r="D35" s="6">
        <v>551.59</v>
      </c>
      <c r="E35" s="7">
        <f t="shared" si="0"/>
        <v>586.63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>
        <v>182.52</v>
      </c>
      <c r="D38" s="6">
        <v>246.92</v>
      </c>
      <c r="E38" s="7">
        <f t="shared" si="0"/>
        <v>429.44</v>
      </c>
      <c r="F38" s="36"/>
      <c r="G38" s="36"/>
    </row>
    <row r="39" spans="1:7" ht="15.75">
      <c r="A39" s="55">
        <v>34</v>
      </c>
      <c r="B39" s="56" t="s">
        <v>61</v>
      </c>
      <c r="C39" s="6">
        <v>1846.82</v>
      </c>
      <c r="D39" s="6">
        <v>2860.84</v>
      </c>
      <c r="E39" s="7">
        <f t="shared" si="0"/>
        <v>4707.66</v>
      </c>
      <c r="F39" s="36"/>
      <c r="G39" s="36"/>
    </row>
    <row r="40" spans="1:7" ht="15.75">
      <c r="A40" s="57"/>
      <c r="B40" s="57" t="s">
        <v>31</v>
      </c>
      <c r="C40" s="6">
        <f>SUM(C6:C39)</f>
        <v>209756.00999999998</v>
      </c>
      <c r="D40" s="6">
        <f>SUM(D6:D39)</f>
        <v>448491.12000000005</v>
      </c>
      <c r="E40" s="7">
        <f t="shared" si="0"/>
        <v>658247.13</v>
      </c>
      <c r="F40" s="36"/>
      <c r="G40" s="36"/>
    </row>
    <row r="41" spans="1:7" ht="14.25">
      <c r="A41" s="36"/>
      <c r="B41" s="36"/>
      <c r="C41" s="36"/>
      <c r="D41" s="36"/>
      <c r="E41" s="1"/>
      <c r="F41" s="36"/>
      <c r="G41" s="36"/>
    </row>
    <row r="42" spans="1:7" ht="14.25">
      <c r="A42" s="36"/>
      <c r="B42" s="36"/>
      <c r="C42" s="36"/>
      <c r="D42" s="36"/>
      <c r="E42" s="36"/>
      <c r="F42" s="36"/>
      <c r="G42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C6" sqref="C6:C39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73" t="s">
        <v>76</v>
      </c>
      <c r="B3" s="73"/>
      <c r="C3" s="73"/>
      <c r="D3" s="73"/>
      <c r="E3" s="73"/>
      <c r="F3" s="73"/>
    </row>
    <row r="4" spans="1:6" ht="15">
      <c r="A4" s="76"/>
      <c r="B4" s="76"/>
      <c r="C4" s="76"/>
      <c r="D4" s="76"/>
      <c r="E4" s="76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7">
        <v>13320</v>
      </c>
      <c r="D6" s="67">
        <v>480</v>
      </c>
    </row>
    <row r="7" spans="1:4" ht="15.75">
      <c r="A7" s="55">
        <v>2</v>
      </c>
      <c r="B7" s="56" t="s">
        <v>7</v>
      </c>
      <c r="C7" s="67">
        <v>3600</v>
      </c>
      <c r="D7" s="67"/>
    </row>
    <row r="8" spans="1:4" ht="15.75">
      <c r="A8" s="55">
        <v>3</v>
      </c>
      <c r="B8" s="56" t="s">
        <v>8</v>
      </c>
      <c r="C8" s="67">
        <v>1440</v>
      </c>
      <c r="D8" s="67"/>
    </row>
    <row r="9" spans="1:4" ht="15.75">
      <c r="A9" s="55">
        <v>4</v>
      </c>
      <c r="B9" s="56" t="s">
        <v>9</v>
      </c>
      <c r="C9" s="67">
        <v>1320</v>
      </c>
      <c r="D9" s="67"/>
    </row>
    <row r="10" spans="1:4" ht="15.75">
      <c r="A10" s="55">
        <v>5</v>
      </c>
      <c r="B10" s="56" t="s">
        <v>10</v>
      </c>
      <c r="C10" s="67">
        <v>3720</v>
      </c>
      <c r="D10" s="67"/>
    </row>
    <row r="11" spans="1:4" ht="15.75">
      <c r="A11" s="55">
        <v>6</v>
      </c>
      <c r="B11" s="56" t="s">
        <v>11</v>
      </c>
      <c r="C11" s="67">
        <v>9840</v>
      </c>
      <c r="D11" s="67"/>
    </row>
    <row r="12" spans="1:4" ht="15.75">
      <c r="A12" s="55">
        <v>7</v>
      </c>
      <c r="B12" s="56" t="s">
        <v>59</v>
      </c>
      <c r="C12" s="67">
        <v>3720</v>
      </c>
      <c r="D12" s="67">
        <v>1440</v>
      </c>
    </row>
    <row r="13" spans="1:4" ht="15.75">
      <c r="A13" s="55">
        <v>8</v>
      </c>
      <c r="B13" s="56" t="s">
        <v>12</v>
      </c>
      <c r="C13" s="67">
        <v>8160</v>
      </c>
      <c r="D13" s="67">
        <v>1560</v>
      </c>
    </row>
    <row r="14" spans="1:4" ht="15.75">
      <c r="A14" s="55">
        <v>9</v>
      </c>
      <c r="B14" s="56" t="s">
        <v>13</v>
      </c>
      <c r="C14" s="67">
        <v>6240</v>
      </c>
      <c r="D14" s="67">
        <v>480</v>
      </c>
    </row>
    <row r="15" spans="1:4" ht="15.75">
      <c r="A15" s="55">
        <v>10</v>
      </c>
      <c r="B15" s="56" t="s">
        <v>14</v>
      </c>
      <c r="C15" s="67">
        <v>6120</v>
      </c>
      <c r="D15" s="67">
        <v>480</v>
      </c>
    </row>
    <row r="16" spans="1:4" ht="15.75">
      <c r="A16" s="55">
        <v>11</v>
      </c>
      <c r="B16" s="56" t="s">
        <v>15</v>
      </c>
      <c r="C16" s="67">
        <v>6240</v>
      </c>
      <c r="D16" s="67">
        <v>600</v>
      </c>
    </row>
    <row r="17" spans="1:4" ht="15.75">
      <c r="A17" s="55">
        <v>12</v>
      </c>
      <c r="B17" s="56" t="s">
        <v>16</v>
      </c>
      <c r="C17" s="67">
        <v>1560</v>
      </c>
      <c r="D17" s="67">
        <v>480</v>
      </c>
    </row>
    <row r="18" spans="1:4" ht="15.75">
      <c r="A18" s="55">
        <v>13</v>
      </c>
      <c r="B18" s="56" t="s">
        <v>17</v>
      </c>
      <c r="C18" s="67">
        <v>6840</v>
      </c>
      <c r="D18" s="67">
        <v>1440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>
        <v>240</v>
      </c>
      <c r="D21" s="67"/>
    </row>
    <row r="22" spans="1:4" ht="15.75">
      <c r="A22" s="55">
        <v>17</v>
      </c>
      <c r="B22" s="56" t="s">
        <v>21</v>
      </c>
      <c r="C22" s="67">
        <v>4080</v>
      </c>
      <c r="D22" s="67">
        <v>480</v>
      </c>
    </row>
    <row r="23" spans="1:4" ht="15.75">
      <c r="A23" s="55">
        <v>18</v>
      </c>
      <c r="B23" s="56" t="s">
        <v>22</v>
      </c>
      <c r="C23" s="67">
        <v>5400</v>
      </c>
      <c r="D23" s="67">
        <v>480</v>
      </c>
    </row>
    <row r="24" spans="1:4" ht="15.75">
      <c r="A24" s="55">
        <v>19</v>
      </c>
      <c r="B24" s="56" t="s">
        <v>23</v>
      </c>
      <c r="C24" s="67">
        <v>600</v>
      </c>
      <c r="D24" s="67"/>
    </row>
    <row r="25" spans="1:4" ht="15.75">
      <c r="A25" s="55">
        <v>20</v>
      </c>
      <c r="B25" s="56" t="s">
        <v>24</v>
      </c>
      <c r="C25" s="67">
        <v>240</v>
      </c>
      <c r="D25" s="67"/>
    </row>
    <row r="26" spans="1:4" ht="15.75">
      <c r="A26" s="55">
        <v>21</v>
      </c>
      <c r="B26" s="56" t="s">
        <v>25</v>
      </c>
      <c r="C26" s="67">
        <v>3960</v>
      </c>
      <c r="D26" s="67">
        <v>480</v>
      </c>
    </row>
    <row r="27" spans="1:4" ht="15.75">
      <c r="A27" s="55">
        <v>22</v>
      </c>
      <c r="B27" s="56" t="s">
        <v>26</v>
      </c>
      <c r="C27" s="67">
        <v>1800</v>
      </c>
      <c r="D27" s="67"/>
    </row>
    <row r="28" spans="1:4" ht="15.75">
      <c r="A28" s="55">
        <v>23</v>
      </c>
      <c r="B28" s="56" t="s">
        <v>27</v>
      </c>
      <c r="C28" s="67">
        <v>1200</v>
      </c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>
        <v>4308</v>
      </c>
      <c r="D30" s="67">
        <v>480</v>
      </c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>
        <v>360</v>
      </c>
      <c r="D32" s="67"/>
    </row>
    <row r="33" spans="1:4" ht="15.75">
      <c r="A33" s="55">
        <v>28</v>
      </c>
      <c r="B33" s="56" t="s">
        <v>41</v>
      </c>
      <c r="C33" s="67">
        <v>1920</v>
      </c>
      <c r="D33" s="67">
        <v>960</v>
      </c>
    </row>
    <row r="34" spans="1:4" ht="15.75">
      <c r="A34" s="55">
        <v>29</v>
      </c>
      <c r="B34" s="56" t="s">
        <v>42</v>
      </c>
      <c r="C34" s="67">
        <v>2640</v>
      </c>
      <c r="D34" s="67"/>
    </row>
    <row r="35" spans="1:4" ht="15.75">
      <c r="A35" s="55">
        <v>30</v>
      </c>
      <c r="B35" s="56" t="s">
        <v>44</v>
      </c>
      <c r="C35" s="67">
        <v>120</v>
      </c>
      <c r="D35" s="67">
        <v>480</v>
      </c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>
        <v>240</v>
      </c>
      <c r="D38" s="67"/>
    </row>
    <row r="39" spans="1:4" ht="15.75">
      <c r="A39" s="55">
        <v>34</v>
      </c>
      <c r="B39" s="56" t="s">
        <v>61</v>
      </c>
      <c r="C39" s="67">
        <v>360</v>
      </c>
      <c r="D39" s="67"/>
    </row>
    <row r="40" spans="1:4" ht="15.75">
      <c r="A40" s="57"/>
      <c r="B40" s="57" t="s">
        <v>31</v>
      </c>
      <c r="C40" s="68">
        <f>SUM(C6:C39)</f>
        <v>99588</v>
      </c>
      <c r="D40" s="68">
        <f>SUM(D6:D39)</f>
        <v>10320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view="pageBreakPreview" zoomScale="60" workbookViewId="0" topLeftCell="A1">
      <selection activeCell="C6" sqref="C6:C39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77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7">
        <v>21672.18</v>
      </c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>
        <v>65461.96</v>
      </c>
    </row>
    <row r="13" spans="1:3" ht="15.75">
      <c r="A13" s="55">
        <v>8</v>
      </c>
      <c r="B13" s="56" t="s">
        <v>12</v>
      </c>
      <c r="C13" s="67">
        <v>63271.93</v>
      </c>
    </row>
    <row r="14" spans="1:3" ht="15.75">
      <c r="A14" s="55">
        <v>9</v>
      </c>
      <c r="B14" s="56" t="s">
        <v>13</v>
      </c>
      <c r="C14" s="67">
        <v>26852.66</v>
      </c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>
        <v>26852.66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>
        <v>28279.57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13426.33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245817.29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">
      <selection activeCell="C6" sqref="C6:C39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77" t="s">
        <v>78</v>
      </c>
      <c r="B3" s="77"/>
      <c r="C3" s="77"/>
      <c r="D3" s="77"/>
      <c r="E3" s="77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93868.59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>
        <v>667.76</v>
      </c>
    </row>
    <row r="11" spans="1:3" ht="15.75">
      <c r="A11" s="55">
        <v>6</v>
      </c>
      <c r="B11" s="56" t="s">
        <v>11</v>
      </c>
      <c r="C11" s="67">
        <v>573.89</v>
      </c>
    </row>
    <row r="12" spans="1:3" ht="15.75">
      <c r="A12" s="55">
        <v>7</v>
      </c>
      <c r="B12" s="56" t="s">
        <v>59</v>
      </c>
      <c r="C12" s="67">
        <v>232.36</v>
      </c>
    </row>
    <row r="13" spans="1:3" ht="15.75">
      <c r="A13" s="55">
        <v>8</v>
      </c>
      <c r="B13" s="56" t="s">
        <v>12</v>
      </c>
      <c r="C13" s="67">
        <v>124949.34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>
        <v>17721.12</v>
      </c>
    </row>
    <row r="16" spans="1:3" ht="15.75">
      <c r="A16" s="55">
        <v>11</v>
      </c>
      <c r="B16" s="56" t="s">
        <v>15</v>
      </c>
      <c r="C16" s="67">
        <v>635.45</v>
      </c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937.84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>
        <v>624.24</v>
      </c>
    </row>
    <row r="23" spans="1:3" ht="15.75">
      <c r="A23" s="55">
        <v>18</v>
      </c>
      <c r="B23" s="56" t="s">
        <v>22</v>
      </c>
      <c r="C23" s="67">
        <v>5260.58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>
        <v>384.9</v>
      </c>
    </row>
    <row r="26" spans="1:3" ht="15.75">
      <c r="A26" s="55">
        <v>21</v>
      </c>
      <c r="B26" s="56" t="s">
        <v>25</v>
      </c>
      <c r="C26" s="67">
        <v>155150.93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>
        <v>118.32</v>
      </c>
    </row>
    <row r="30" spans="1:3" ht="15.75">
      <c r="A30" s="55">
        <v>25</v>
      </c>
      <c r="B30" s="56" t="s">
        <v>29</v>
      </c>
      <c r="C30" s="67">
        <v>14735.44</v>
      </c>
    </row>
    <row r="31" spans="1:3" ht="15.75">
      <c r="A31" s="55">
        <v>26</v>
      </c>
      <c r="B31" s="56" t="s">
        <v>30</v>
      </c>
      <c r="C31" s="67">
        <v>14324.24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1352.8</v>
      </c>
    </row>
    <row r="34" spans="1:3" ht="15.75">
      <c r="A34" s="55">
        <v>29</v>
      </c>
      <c r="B34" s="56" t="s">
        <v>42</v>
      </c>
      <c r="C34" s="67">
        <v>276.4</v>
      </c>
    </row>
    <row r="35" spans="1:3" ht="15.75">
      <c r="A35" s="55">
        <v>30</v>
      </c>
      <c r="B35" s="56" t="s">
        <v>44</v>
      </c>
      <c r="C35" s="67">
        <v>134.88</v>
      </c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>
        <v>404.82</v>
      </c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>
        <v>881.3</v>
      </c>
    </row>
    <row r="40" spans="1:3" ht="15.75">
      <c r="A40" s="57"/>
      <c r="B40" s="57" t="s">
        <v>31</v>
      </c>
      <c r="C40" s="68">
        <f>SUM(C6:C39)</f>
        <v>433235.2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C6" sqref="C6:C39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73" t="s">
        <v>79</v>
      </c>
      <c r="B3" s="73"/>
      <c r="C3" s="73"/>
      <c r="D3" s="73"/>
      <c r="E3" s="73"/>
      <c r="F3" s="73"/>
      <c r="G3" s="73"/>
    </row>
    <row r="4" spans="1:7" ht="14.25">
      <c r="A4" s="75"/>
      <c r="B4" s="75"/>
      <c r="C4" s="75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>
        <v>31280.01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2571.67</v>
      </c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7">
        <f>SUM(C6:C39)</f>
        <v>33851.68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2020-05-20T10:34:05Z</cp:lastPrinted>
  <dcterms:created xsi:type="dcterms:W3CDTF">2011-06-30T06:54:46Z</dcterms:created>
  <dcterms:modified xsi:type="dcterms:W3CDTF">2021-02-22T07:34:08Z</dcterms:modified>
  <cp:category/>
  <cp:version/>
  <cp:contentType/>
  <cp:contentStatus/>
</cp:coreProperties>
</file>